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codeName="ThisWorkbook" autoCompressPictures="0"/>
  <mc:AlternateContent xmlns:mc="http://schemas.openxmlformats.org/markup-compatibility/2006">
    <mc:Choice Requires="x15">
      <x15ac:absPath xmlns:x15ac="http://schemas.microsoft.com/office/spreadsheetml/2010/11/ac" url="/Users/jacklynwilson/Desktop/"/>
    </mc:Choice>
  </mc:AlternateContent>
  <xr:revisionPtr revIDLastSave="0" documentId="13_ncr:1_{E8DF45CE-30B1-EC4D-BBB9-DFAF582E4212}" xr6:coauthVersionLast="47" xr6:coauthVersionMax="47" xr10:uidLastSave="{00000000-0000-0000-0000-000000000000}"/>
  <bookViews>
    <workbookView xWindow="3520" yWindow="460" windowWidth="17500" windowHeight="14040" tabRatio="701" xr2:uid="{00000000-000D-0000-FFFF-FFFF00000000}"/>
  </bookViews>
  <sheets>
    <sheet name="FY 2022 Loan Fees" sheetId="1" r:id="rId1"/>
    <sheet name="Formulas" sheetId="7" state="veryHidden" r:id="rId2"/>
    <sheet name="Instructions" sheetId="5" r:id="rId3"/>
  </sheets>
  <definedNames>
    <definedName name="_xlnm.Print_Area" localSheetId="1">Formulas!$B$2:$L$61</definedName>
    <definedName name="_xlnm.Print_Area" localSheetId="0">'FY 2022 Loan Fees'!$B$2:$L$61</definedName>
    <definedName name="_xlnm.Print_Area" localSheetId="2">Instructions!$A$1:$G$87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7" l="1"/>
  <c r="F40" i="7"/>
  <c r="K11" i="1"/>
  <c r="K10" i="1"/>
  <c r="J15" i="1"/>
  <c r="J14" i="7"/>
  <c r="J11" i="7"/>
  <c r="J10" i="7"/>
  <c r="I35" i="1"/>
  <c r="I34" i="1"/>
  <c r="I33" i="1"/>
  <c r="I26" i="1"/>
  <c r="I20" i="1"/>
  <c r="I19" i="1"/>
  <c r="I15" i="1"/>
  <c r="I14" i="1"/>
  <c r="I11" i="1"/>
  <c r="I10" i="1"/>
  <c r="I10" i="7"/>
  <c r="H35" i="7"/>
  <c r="H34" i="7"/>
  <c r="H33" i="7"/>
  <c r="H26" i="7"/>
  <c r="H20" i="7"/>
  <c r="H19" i="7"/>
  <c r="I19" i="7" s="1"/>
  <c r="H18" i="7"/>
  <c r="H17" i="7"/>
  <c r="H15" i="7"/>
  <c r="H14" i="7"/>
  <c r="H11" i="7"/>
  <c r="H10" i="7"/>
  <c r="G35" i="7"/>
  <c r="I35" i="7" s="1"/>
  <c r="G34" i="7"/>
  <c r="I34" i="7" s="1"/>
  <c r="G33" i="7"/>
  <c r="G29" i="7"/>
  <c r="G28" i="7"/>
  <c r="I28" i="7" s="1"/>
  <c r="I28" i="1" s="1"/>
  <c r="G27" i="7"/>
  <c r="G30" i="7" s="1"/>
  <c r="G26" i="7"/>
  <c r="G20" i="7"/>
  <c r="G19" i="7"/>
  <c r="G18" i="7"/>
  <c r="I18" i="7" s="1"/>
  <c r="I18" i="1" s="1"/>
  <c r="G17" i="7"/>
  <c r="I17" i="7" s="1"/>
  <c r="I17" i="1" s="1"/>
  <c r="G16" i="7"/>
  <c r="G15" i="7"/>
  <c r="G14" i="7"/>
  <c r="K14" i="7" s="1"/>
  <c r="K14" i="1" s="1"/>
  <c r="G11" i="7"/>
  <c r="G10" i="7"/>
  <c r="I33" i="7"/>
  <c r="K29" i="7"/>
  <c r="K29" i="1" s="1"/>
  <c r="I29" i="7"/>
  <c r="I29" i="1" s="1"/>
  <c r="H29" i="7"/>
  <c r="H29" i="1" s="1"/>
  <c r="K28" i="7"/>
  <c r="K28" i="1" s="1"/>
  <c r="H28" i="7"/>
  <c r="H28" i="1" s="1"/>
  <c r="I26" i="7"/>
  <c r="K20" i="7"/>
  <c r="K20" i="1" s="1"/>
  <c r="J20" i="7"/>
  <c r="J20" i="1" s="1"/>
  <c r="I20" i="7"/>
  <c r="K19" i="7"/>
  <c r="K19" i="1" s="1"/>
  <c r="J19" i="7"/>
  <c r="J19" i="1" s="1"/>
  <c r="K16" i="7"/>
  <c r="K16" i="1" s="1"/>
  <c r="J16" i="7"/>
  <c r="J16" i="1" s="1"/>
  <c r="H16" i="7"/>
  <c r="I16" i="7" s="1"/>
  <c r="I16" i="1" s="1"/>
  <c r="O15" i="7"/>
  <c r="K15" i="7"/>
  <c r="K15" i="1" s="1"/>
  <c r="J15" i="7"/>
  <c r="I15" i="7"/>
  <c r="I14" i="7"/>
  <c r="G30" i="1" l="1"/>
  <c r="J29" i="7" a="1"/>
  <c r="J29" i="7" s="1"/>
  <c r="J29" i="1" s="1"/>
  <c r="H27" i="7"/>
  <c r="I27" i="7" s="1"/>
  <c r="I30" i="7" s="1"/>
  <c r="H16" i="1"/>
  <c r="K10" i="7"/>
  <c r="I11" i="7"/>
  <c r="K11" i="7" s="1"/>
  <c r="J28" i="7" a="1"/>
  <c r="J28" i="7" s="1"/>
  <c r="J28" i="1" s="1"/>
  <c r="J26" i="7" a="1"/>
  <c r="J26" i="7" s="1"/>
  <c r="J26" i="1" s="1"/>
  <c r="J27" i="7" a="1"/>
  <c r="J27" i="7" s="1"/>
  <c r="J27" i="1" s="1"/>
  <c r="G22" i="7"/>
  <c r="N14" i="7"/>
  <c r="I22" i="7"/>
  <c r="H27" i="1" l="1"/>
  <c r="I27" i="1"/>
  <c r="J22" i="7" a="1"/>
  <c r="J22" i="7" s="1"/>
  <c r="J18" i="7" s="1"/>
  <c r="J18" i="1" s="1"/>
  <c r="N30" i="7" a="1"/>
  <c r="N30" i="7" s="1"/>
  <c r="K26" i="7" s="1"/>
  <c r="K26" i="1" s="1"/>
  <c r="I30" i="1"/>
  <c r="N41" i="7" a="1"/>
  <c r="N41" i="7" s="1"/>
  <c r="D43" i="7"/>
  <c r="D43" i="1" s="1"/>
  <c r="F86" i="5"/>
  <c r="J17" i="7" l="1"/>
  <c r="J17" i="1" s="1"/>
  <c r="O22" i="7"/>
  <c r="K18" i="7" s="1"/>
  <c r="K18" i="1" s="1"/>
  <c r="K27" i="7"/>
  <c r="K27" i="1" s="1"/>
  <c r="O41" i="7"/>
  <c r="O14" i="7"/>
  <c r="K30" i="7" l="1"/>
  <c r="K17" i="7"/>
  <c r="K17" i="1" s="1"/>
  <c r="K30" i="1" l="1"/>
  <c r="K41" i="7" a="1"/>
  <c r="K41" i="7" s="1"/>
  <c r="K41" i="1" s="1"/>
  <c r="K22" i="7"/>
  <c r="K39" i="7" s="1"/>
  <c r="K39" i="1" s="1"/>
  <c r="K40" i="7" l="1"/>
  <c r="K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<sst xmlns="http://schemas.openxmlformats.org/spreadsheetml/2006/main" count="226" uniqueCount="118">
  <si>
    <t>Guaranty Fee</t>
  </si>
  <si>
    <t>Gty %</t>
  </si>
  <si>
    <t>Loan Amount</t>
  </si>
  <si>
    <t>$150,000 or less</t>
  </si>
  <si>
    <t xml:space="preserve">$150,001 to $350,000 </t>
  </si>
  <si>
    <t>$350,001 to $700,000</t>
  </si>
  <si>
    <t>$700,001 to $1,000,000</t>
  </si>
  <si>
    <t xml:space="preserve"> For Loan Maturites over 12 months</t>
  </si>
  <si>
    <t>Gty Rate</t>
  </si>
  <si>
    <t>Loans Greater than $350,000</t>
  </si>
  <si>
    <t>Notes:</t>
  </si>
  <si>
    <t>Small Loan - $350,000, or less</t>
  </si>
  <si>
    <t>* If the Guaranty Fee shown here differs from what is shown in E-Tran, enter the amount shown in E-tran.</t>
  </si>
  <si>
    <t>ii. Guaranty Fee Calculation for Multiple Loans Within 90 Days.</t>
  </si>
  <si>
    <t>a)</t>
  </si>
  <si>
    <t>If more than one loan (with maturities exceeding 12 months) is approved for an Applicant, including loans approved to its affiliates, within 90 days of each other, the loans are considered as one loan for the purpose of determining the percentage of guaranty and the guaranty fee calculation. This rule applies regardless of whether the loans were approved by the same or different 7(a) Lenders.</t>
  </si>
  <si>
    <t>b)</t>
  </si>
  <si>
    <t>When the Applicant receives both a short and long term 7(a) loan, the percentage of guaranty is calculated as if the loans are combined, but the guaranty fee is based solely on the maturity of each loan.</t>
  </si>
  <si>
    <t>c)</t>
  </si>
  <si>
    <t>If a short-term loan that was made within 90 days of a long term loan is renewed and the maturity is extended beyond 12 months, the guaranty fee calculated at the time of renewal would equal the fee that would have been charged if both loans were originally long term. The amount owed SBA at the time of renewal would equal the recalculated guaranty fee less the amount paid at the time of original approval.</t>
  </si>
  <si>
    <t>d)</t>
  </si>
  <si>
    <t>This rule also applies to any subsequent increases to either of the loans made within the 90 day period, even if one of the loans subsequently is paid in full.</t>
  </si>
  <si>
    <t>e)</t>
  </si>
  <si>
    <t>From Page 172 of SOP 50-10-6</t>
  </si>
  <si>
    <t xml:space="preserve"> (please see SBA Notice 5000-818641 on the Information Notice tab for additionl information)</t>
  </si>
  <si>
    <t>When two or more loans are approved within 90 calendar days of each other, the applicable fee for the subsequent loans is equal to the guaranty fee that would have been charged had all the loans been combined into one loan. The applicable fee for the subsequent loan(s) will equal the amount of the fee that would have been charged had the loans been combined, less the amount of the fee from the first loan approved.</t>
  </si>
  <si>
    <t>Line #</t>
  </si>
  <si>
    <t>Instruction</t>
  </si>
  <si>
    <t>Enter the new loan amount on this line ONLY when:</t>
  </si>
  <si>
    <t>The new loan is an SBA Express loan to a Veteran-Owned business (even if the borrower has an existing SBA 7(a) loan).</t>
  </si>
  <si>
    <t>Enter the new loan amount on this line when:</t>
  </si>
  <si>
    <t>This loan will have a maturity of 12 months, or less, AND</t>
  </si>
  <si>
    <t>This loan amount is $350,000, or less.</t>
  </si>
  <si>
    <t>If the maturity of the new loan will exceed 12 months, AND</t>
  </si>
  <si>
    <t>Enter the amount of the most recently approved 7(a) loan on this line.</t>
  </si>
  <si>
    <t>If the guaranty percentage of the the loan entered on this line differs than what is shown in the Gty % column,</t>
  </si>
  <si>
    <t xml:space="preserve">   change the guaranty percentage to the percentage shown in E-tran.</t>
  </si>
  <si>
    <t>If the guaranty fee for the the loan entered on this line differs than what is shown in the Guaranty Fee column,</t>
  </si>
  <si>
    <t xml:space="preserve">   change the fee to the fee that is shown in E-tran.</t>
  </si>
  <si>
    <t>Note: If you change the guaranty percentage on this row, it will no longer be caluclated automatically on this row.</t>
  </si>
  <si>
    <t>1)</t>
  </si>
  <si>
    <t>2)</t>
  </si>
  <si>
    <t>3)</t>
  </si>
  <si>
    <t>4)</t>
  </si>
  <si>
    <t>5)</t>
  </si>
  <si>
    <t>6)</t>
  </si>
  <si>
    <t>7)</t>
  </si>
  <si>
    <t>8)</t>
  </si>
  <si>
    <t>9)</t>
  </si>
  <si>
    <t>10)</t>
  </si>
  <si>
    <t>The Upfront Guaranty Fees calculated here are for all 7(a) loans approved October 1, 2021, through September 30, 2022.</t>
  </si>
  <si>
    <t>This calculator is Not to be used for EWCP loans.</t>
  </si>
  <si>
    <t>Loan Balance</t>
  </si>
  <si>
    <t>Gty Amount</t>
  </si>
  <si>
    <t>1st SBA Loan &gt; 90 days ago</t>
  </si>
  <si>
    <t>2nd SBA Loan &gt; 90 days ago</t>
  </si>
  <si>
    <t>3rd SBA Loan &gt; 90 days ago</t>
  </si>
  <si>
    <t>Prior Loan Approved within last 90 days</t>
  </si>
  <si>
    <t>Last Loan Approved within last 90 days</t>
  </si>
  <si>
    <r>
      <t xml:space="preserve">This loan amount is </t>
    </r>
    <r>
      <rPr>
        <u/>
        <sz val="12"/>
        <color theme="1"/>
        <rFont val="Calibri"/>
        <family val="2"/>
        <scheme val="minor"/>
      </rPr>
      <t>more than</t>
    </r>
    <r>
      <rPr>
        <sz val="12"/>
        <color theme="1"/>
        <rFont val="Calibri"/>
        <family val="2"/>
        <scheme val="minor"/>
      </rPr>
      <t xml:space="preserve"> $350,000.</t>
    </r>
  </si>
  <si>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the loan amount is $350,000, or less.</t>
    </r>
  </si>
  <si>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the  loan amount is more than  $150,000 and less than $350,001.</t>
    </r>
  </si>
  <si>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the loan amount is more than  $350,000 and less than $700,001.</t>
    </r>
  </si>
  <si>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the loan amount is more than  $700,000 and less than $1,000,001.</t>
    </r>
  </si>
  <si>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the loan amount is more than than $1,000,000.</t>
    </r>
  </si>
  <si>
    <t>11)</t>
  </si>
  <si>
    <t>12)</t>
  </si>
  <si>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t>
    </r>
  </si>
  <si>
    <r>
      <t xml:space="preserve">        the borrower has one or more existing SBA 7(a) loans that </t>
    </r>
    <r>
      <rPr>
        <u/>
        <sz val="12"/>
        <color theme="1"/>
        <rFont val="Calibri"/>
        <family val="2"/>
        <scheme val="minor"/>
      </rPr>
      <t>were approved in E-tran</t>
    </r>
    <r>
      <rPr>
        <sz val="12"/>
        <color theme="1"/>
        <rFont val="Calibri"/>
        <family val="2"/>
        <scheme val="minor"/>
      </rPr>
      <t xml:space="preserve"> more than 90 days ago.</t>
    </r>
  </si>
  <si>
    <t>13)</t>
  </si>
  <si>
    <r>
      <t xml:space="preserve">        the borrower has one or more existing SBA 7(a) loans that </t>
    </r>
    <r>
      <rPr>
        <u/>
        <sz val="12"/>
        <color theme="1"/>
        <rFont val="Calibri"/>
        <family val="2"/>
        <scheme val="minor"/>
      </rPr>
      <t>were approved in E-tran</t>
    </r>
    <r>
      <rPr>
        <sz val="12"/>
        <color theme="1"/>
        <rFont val="Calibri"/>
        <family val="2"/>
        <scheme val="minor"/>
      </rPr>
      <t xml:space="preserve"> more than 90 days</t>
    </r>
  </si>
  <si>
    <t xml:space="preserve">       prior to the previous loan.</t>
  </si>
  <si>
    <t>14)</t>
  </si>
  <si>
    <t>Same instruction as for line 13, but as it pertains to the previous loan.</t>
  </si>
  <si>
    <t xml:space="preserve">   The prior loan was not a CARES Act loan:</t>
  </si>
  <si>
    <t>15)</t>
  </si>
  <si>
    <t>Enter the new Express loan amount on this line when:</t>
  </si>
  <si>
    <r>
      <t xml:space="preserve">This loan will have a maturity of </t>
    </r>
    <r>
      <rPr>
        <u/>
        <sz val="12"/>
        <color theme="1"/>
        <rFont val="Calibri"/>
        <family val="2"/>
        <scheme val="minor"/>
      </rPr>
      <t>more</t>
    </r>
    <r>
      <rPr>
        <sz val="12"/>
        <color theme="1"/>
        <rFont val="Calibri"/>
        <family val="2"/>
        <scheme val="minor"/>
      </rPr>
      <t xml:space="preserve"> </t>
    </r>
    <r>
      <rPr>
        <u/>
        <sz val="12"/>
        <color theme="1"/>
        <rFont val="Calibri"/>
        <family val="2"/>
        <scheme val="minor"/>
      </rPr>
      <t>than</t>
    </r>
    <r>
      <rPr>
        <sz val="12"/>
        <color theme="1"/>
        <rFont val="Calibri"/>
        <family val="2"/>
        <scheme val="minor"/>
      </rPr>
      <t xml:space="preserve"> 12 months and it is not to a veteran.</t>
    </r>
  </si>
  <si>
    <t xml:space="preserve"> </t>
  </si>
  <si>
    <t>Existing 7(a) Loans Approved &gt; 90 Days Ago</t>
  </si>
  <si>
    <t xml:space="preserve"> Existing 7(a) Loans with Maturities &gt; 12 Mos.</t>
  </si>
  <si>
    <t>Existing 7(a) Loans Approved Within the Last 90 Days</t>
  </si>
  <si>
    <t>Existing 504 Guarantees</t>
  </si>
  <si>
    <t>1st 504 Loan</t>
  </si>
  <si>
    <t>2nd 504 Loan</t>
  </si>
  <si>
    <t>Greg Prichard &amp; Bill Reed</t>
  </si>
  <si>
    <t xml:space="preserve">     Developed by 7(a) LGPC</t>
  </si>
  <si>
    <t>16)</t>
  </si>
  <si>
    <t>17)</t>
  </si>
  <si>
    <t>Enter the current guaranteed amount (not loan/debenture amount) of any outstanding 504 loan.</t>
  </si>
  <si>
    <t>Same instruction as for line 16. If more than two 504 loans exist, they may be combined on a signle line.</t>
  </si>
  <si>
    <t xml:space="preserve"> Short-Term Loans (maturities of 12 months, or less)</t>
  </si>
  <si>
    <t>Loans Approved Within the Last 90 Days.*</t>
  </si>
  <si>
    <t>Enter New Loan to be Approved in the Section (enter one loan only)</t>
  </si>
  <si>
    <t>SBA Express Loan (non-veteran-owned business)</t>
  </si>
  <si>
    <t>Enter Existing 7(a) Loans Below</t>
  </si>
  <si>
    <t>SBA Express Loan for Veteran-Owned Business</t>
  </si>
  <si>
    <t xml:space="preserve">Fee for This Loan Guaranty Amount </t>
  </si>
  <si>
    <t xml:space="preserve">Total Fee Due for this New Loan </t>
  </si>
  <si>
    <t xml:space="preserve">Add'l Fee Resulting from Existing Loan(s) </t>
  </si>
  <si>
    <t>Gty Fee Paid</t>
  </si>
  <si>
    <t>Gty Fee Due</t>
  </si>
  <si>
    <t>Existing VA Loan Approved within last 90 days</t>
  </si>
  <si>
    <t xml:space="preserve">  Total For All Non-VA Loans Approved Within Last 90 Days</t>
  </si>
  <si>
    <t xml:space="preserve">SBA 7(a) Loan Guaranty Fee Calculator
</t>
  </si>
  <si>
    <t>(FY 2022 Only)</t>
  </si>
  <si>
    <t>https://www.sba.gov/document/information-notice-5000-818641-7a-fees-effective-october-1-2021.</t>
  </si>
  <si>
    <t>For additional information on FY2022 fees, see SBA Information Notice 5000-818641 which can be found at:</t>
  </si>
  <si>
    <t xml:space="preserve"> Note: If the fee calculated in this worksheet should differ from what is calculated when the loan is funded in E-tran, the amount calculated by E-tran will prevail.</t>
  </si>
  <si>
    <t>$1,000,001 to $5,000,000</t>
  </si>
  <si>
    <t xml:space="preserve">     (first $1MM of guaranteed portion at 3.5%, balance at 3.75%)</t>
  </si>
  <si>
    <t xml:space="preserve">Version 1.3 - Last Updated 1/14/22     </t>
  </si>
  <si>
    <t xml:space="preserve">Version 1.4 - Last Updated 1/20/22     </t>
  </si>
  <si>
    <t>18)</t>
  </si>
  <si>
    <r>
      <t xml:space="preserve">   the borrower has an existing SBA 7(a) Vetern's Advantage loan that </t>
    </r>
    <r>
      <rPr>
        <u/>
        <sz val="12"/>
        <color theme="1"/>
        <rFont val="Calibri"/>
        <family val="2"/>
        <scheme val="minor"/>
      </rPr>
      <t>was approved in E-tran</t>
    </r>
    <r>
      <rPr>
        <sz val="12"/>
        <color theme="1"/>
        <rFont val="Calibri"/>
        <family val="2"/>
        <scheme val="minor"/>
      </rPr>
      <t xml:space="preserve"> within the previous 90 days,</t>
    </r>
  </si>
  <si>
    <t>Enter the loan amount on this line.</t>
  </si>
  <si>
    <r>
      <t xml:space="preserve">   the borrower has an existing SBA 7(a) loan that </t>
    </r>
    <r>
      <rPr>
        <u/>
        <sz val="12"/>
        <color theme="1"/>
        <rFont val="Calibri"/>
        <family val="2"/>
        <scheme val="minor"/>
      </rPr>
      <t>was approved in E-tran</t>
    </r>
    <r>
      <rPr>
        <sz val="12"/>
        <color theme="1"/>
        <rFont val="Calibri"/>
        <family val="2"/>
        <scheme val="minor"/>
      </rPr>
      <t xml:space="preserve"> within the previous 90 days, AND</t>
    </r>
  </si>
  <si>
    <t>Same as for line 11, but when a loan was approved within 90 days of the previous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</si>
</sst>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_);_(&quot;$&quot;* \(#,##0.000\);_(&quot;$&quot;* &quot;-&quot;???_);_(@_)"/>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b/>
      <i/>
      <sz val="14"/>
      <name val="Calibri"/>
      <family val="2"/>
      <scheme val="minor"/>
    </font>
    <font>
      <b/>
      <sz val="12"/>
      <color theme="1"/>
      <name val="Calibri"/>
      <family val="2"/>
      <scheme val="minor"/>
    </font>
    <font>
      <b/>
      <sz val="14"/>
      <color theme="1"/>
      <name val="Calibri"/>
      <family val="2"/>
      <scheme val="minor"/>
    </font>
    <font>
      <sz val="14"/>
      <color theme="1"/>
      <name val="Times New Roman"/>
      <family val="1"/>
    </font>
    <font>
      <b/>
      <u/>
      <sz val="14"/>
      <color theme="1"/>
      <name val="Calibri"/>
      <family val="2"/>
      <scheme val="minor"/>
    </font>
    <font>
      <b/>
      <sz val="14"/>
      <color rgb="FFFF0000"/>
      <name val="Calibri"/>
      <family val="2"/>
      <scheme val="minor"/>
    </font>
    <font>
      <sz val="14"/>
      <color rgb="FFFF0000"/>
      <name val="Calibri"/>
      <family val="2"/>
      <scheme val="minor"/>
    </font>
    <font>
      <b/>
      <sz val="14"/>
      <name val="Times New Roman"/>
      <family val="1"/>
    </font>
    <font>
      <b/>
      <sz val="14"/>
      <color rgb="FFFF0000"/>
      <name val="Times New Roman"/>
      <family val="1"/>
    </font>
    <font>
      <sz val="14"/>
      <color theme="0" tint="-0.249977111117893"/>
      <name val="Calibri"/>
      <family val="2"/>
      <scheme val="minor"/>
    </font>
    <font>
      <sz val="12"/>
      <color theme="0" tint="-0.249977111117893"/>
      <name val="Calibri"/>
      <family val="2"/>
      <scheme val="minor"/>
    </font>
    <font>
      <sz val="10"/>
      <color theme="1"/>
      <name val="Calibri"/>
      <family val="2"/>
      <scheme val="minor"/>
    </font>
    <font>
      <u/>
      <sz val="12"/>
      <color theme="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sz val="14"/>
      <color rgb="FFBFBFBF"/>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FBFBF"/>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medium">
        <color indexed="64"/>
      </right>
      <top/>
      <bottom style="thin">
        <color indexed="64"/>
      </bottom>
      <diagonal/>
    </border>
    <border>
      <left/>
      <right/>
      <top style="medium">
        <color indexed="64"/>
      </top>
      <bottom style="medium">
        <color rgb="FFFF0000"/>
      </bottom>
      <diagonal/>
    </border>
    <border>
      <left/>
      <right style="medium">
        <color indexed="64"/>
      </right>
      <top style="medium">
        <color indexed="64"/>
      </top>
      <bottom style="medium">
        <color rgb="FFFF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thick">
        <color theme="4" tint="0.499984740745262"/>
      </bottom>
      <diagonal/>
    </border>
    <border>
      <left style="thin">
        <color auto="1"/>
      </left>
      <right/>
      <top style="thin">
        <color auto="1"/>
      </top>
      <bottom/>
      <diagonal/>
    </border>
    <border>
      <left/>
      <right style="medium">
        <color indexed="64"/>
      </right>
      <top style="thin">
        <color auto="1"/>
      </top>
      <bottom style="medium">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0" fontId="2" fillId="0" borderId="0"/>
    <xf numFmtId="0" fontId="1" fillId="0" borderId="0"/>
    <xf numFmtId="0" fontId="4" fillId="0" borderId="0" applyNumberFormat="0" applyFill="0" applyBorder="0" applyAlignment="0" applyProtection="0"/>
    <xf numFmtId="0" fontId="20" fillId="0" borderId="45" applyNumberFormat="0" applyFont="0" applyFill="0" applyAlignment="0" applyProtection="0"/>
    <xf numFmtId="0" fontId="20" fillId="0" borderId="44" applyNumberFormat="0" applyFill="0" applyBorder="0" applyAlignment="0" applyProtection="0"/>
  </cellStyleXfs>
  <cellXfs count="247">
    <xf numFmtId="0" fontId="0" fillId="0" borderId="0" xfId="0"/>
    <xf numFmtId="44" fontId="3" fillId="0" borderId="1" xfId="9" applyFont="1" applyFill="1" applyBorder="1" applyAlignment="1" applyProtection="1">
      <alignment vertical="top" wrapText="1"/>
      <protection locked="0"/>
    </xf>
    <xf numFmtId="0" fontId="3" fillId="2" borderId="3" xfId="0" applyFont="1" applyFill="1" applyBorder="1" applyAlignment="1">
      <alignment vertical="top"/>
    </xf>
    <xf numFmtId="0" fontId="3" fillId="2" borderId="2" xfId="0" applyFont="1" applyFill="1" applyBorder="1" applyAlignment="1">
      <alignment vertical="top"/>
    </xf>
    <xf numFmtId="10" fontId="3" fillId="2" borderId="1" xfId="0" applyNumberFormat="1" applyFont="1" applyFill="1" applyBorder="1" applyAlignment="1">
      <alignment horizontal="center" vertical="top"/>
    </xf>
    <xf numFmtId="44" fontId="3" fillId="0" borderId="1" xfId="9" applyFont="1" applyFill="1" applyBorder="1" applyAlignment="1">
      <alignment vertical="top"/>
    </xf>
    <xf numFmtId="44" fontId="3" fillId="0" borderId="9" xfId="9" applyFont="1" applyFill="1" applyBorder="1" applyAlignment="1" applyProtection="1">
      <alignment vertical="top" wrapText="1"/>
      <protection locked="0"/>
    </xf>
    <xf numFmtId="44" fontId="3" fillId="0" borderId="9" xfId="9" applyFont="1" applyFill="1" applyBorder="1" applyAlignment="1">
      <alignment vertical="top"/>
    </xf>
    <xf numFmtId="44" fontId="3" fillId="0" borderId="10" xfId="9" applyFont="1" applyFill="1" applyBorder="1" applyAlignment="1">
      <alignment vertical="top"/>
    </xf>
    <xf numFmtId="44" fontId="3" fillId="0" borderId="4" xfId="9" applyFont="1" applyFill="1" applyBorder="1" applyAlignment="1" applyProtection="1">
      <alignment vertical="top" wrapText="1"/>
      <protection locked="0"/>
    </xf>
    <xf numFmtId="44" fontId="3" fillId="0" borderId="4" xfId="9" applyFont="1" applyFill="1" applyBorder="1" applyAlignment="1">
      <alignment vertical="top"/>
    </xf>
    <xf numFmtId="44" fontId="3" fillId="0" borderId="12" xfId="9" applyFont="1" applyFill="1" applyBorder="1" applyAlignment="1">
      <alignment vertical="top"/>
    </xf>
    <xf numFmtId="0" fontId="3" fillId="2" borderId="19" xfId="0" applyFont="1" applyFill="1" applyBorder="1" applyAlignment="1">
      <alignment vertical="top"/>
    </xf>
    <xf numFmtId="0" fontId="3" fillId="2" borderId="8" xfId="0" applyFont="1" applyFill="1" applyBorder="1" applyAlignment="1">
      <alignment vertical="top"/>
    </xf>
    <xf numFmtId="0" fontId="3" fillId="2" borderId="6" xfId="0" applyFont="1" applyFill="1" applyBorder="1" applyAlignment="1">
      <alignment vertical="top"/>
    </xf>
    <xf numFmtId="10" fontId="3" fillId="2" borderId="9" xfId="0" applyNumberFormat="1" applyFont="1" applyFill="1" applyBorder="1" applyAlignment="1">
      <alignment horizontal="center" vertical="top"/>
    </xf>
    <xf numFmtId="10" fontId="3" fillId="2" borderId="4" xfId="0" applyNumberFormat="1" applyFont="1" applyFill="1" applyBorder="1" applyAlignment="1">
      <alignment horizontal="center" vertical="top"/>
    </xf>
    <xf numFmtId="0" fontId="3" fillId="2" borderId="11" xfId="0" applyFont="1" applyFill="1" applyBorder="1" applyAlignment="1">
      <alignment vertical="top"/>
    </xf>
    <xf numFmtId="0" fontId="3" fillId="2" borderId="7" xfId="0" applyFont="1" applyFill="1" applyBorder="1" applyAlignment="1">
      <alignment vertical="top"/>
    </xf>
    <xf numFmtId="0" fontId="3" fillId="2" borderId="13" xfId="0" applyFont="1" applyFill="1" applyBorder="1" applyAlignment="1">
      <alignment vertical="top"/>
    </xf>
    <xf numFmtId="0" fontId="3" fillId="2" borderId="5" xfId="0" applyFont="1" applyFill="1" applyBorder="1" applyAlignment="1">
      <alignment vertical="top"/>
    </xf>
    <xf numFmtId="0" fontId="3" fillId="2" borderId="21" xfId="0" applyFont="1" applyFill="1" applyBorder="1" applyAlignment="1">
      <alignment vertical="top"/>
    </xf>
    <xf numFmtId="10" fontId="3" fillId="2" borderId="4" xfId="0" applyNumberFormat="1" applyFont="1" applyFill="1" applyBorder="1" applyAlignment="1">
      <alignment horizontal="center" vertical="center"/>
    </xf>
    <xf numFmtId="0" fontId="9" fillId="2" borderId="18" xfId="0" applyFont="1" applyFill="1" applyBorder="1" applyAlignment="1">
      <alignment vertical="top"/>
    </xf>
    <xf numFmtId="0" fontId="3" fillId="3" borderId="0" xfId="0" applyFont="1" applyFill="1" applyAlignment="1">
      <alignment vertical="top"/>
    </xf>
    <xf numFmtId="0" fontId="3" fillId="3" borderId="0" xfId="0" applyFont="1" applyFill="1" applyBorder="1" applyAlignment="1">
      <alignment vertical="top" wrapText="1"/>
    </xf>
    <xf numFmtId="0" fontId="3" fillId="3" borderId="0" xfId="0" applyFont="1" applyFill="1" applyBorder="1" applyAlignment="1">
      <alignment vertical="top"/>
    </xf>
    <xf numFmtId="0" fontId="7" fillId="3" borderId="0" xfId="0" applyFont="1" applyFill="1" applyAlignment="1">
      <alignment vertical="top"/>
    </xf>
    <xf numFmtId="0" fontId="3" fillId="3" borderId="0" xfId="0" applyFont="1" applyFill="1" applyAlignment="1">
      <alignment vertical="top" wrapText="1"/>
    </xf>
    <xf numFmtId="0" fontId="3" fillId="3" borderId="0" xfId="0" applyFont="1" applyFill="1"/>
    <xf numFmtId="44" fontId="3" fillId="3" borderId="0" xfId="9" applyFont="1" applyFill="1" applyBorder="1" applyAlignment="1">
      <alignment vertical="top"/>
    </xf>
    <xf numFmtId="0" fontId="3" fillId="3" borderId="23" xfId="0" applyFont="1" applyFill="1" applyBorder="1" applyAlignment="1">
      <alignment vertical="top"/>
    </xf>
    <xf numFmtId="0" fontId="3" fillId="3" borderId="24" xfId="0" applyFont="1" applyFill="1" applyBorder="1" applyAlignment="1">
      <alignment vertical="top" wrapText="1"/>
    </xf>
    <xf numFmtId="0" fontId="3" fillId="3" borderId="24" xfId="0" applyFont="1" applyFill="1" applyBorder="1" applyAlignment="1">
      <alignment vertical="top"/>
    </xf>
    <xf numFmtId="0" fontId="3" fillId="3" borderId="25" xfId="0" applyFont="1" applyFill="1" applyBorder="1" applyAlignment="1">
      <alignment vertical="top"/>
    </xf>
    <xf numFmtId="0" fontId="3" fillId="3" borderId="26" xfId="0" applyFont="1" applyFill="1" applyBorder="1" applyAlignment="1">
      <alignment vertical="top"/>
    </xf>
    <xf numFmtId="0" fontId="3" fillId="3" borderId="27" xfId="0" applyFont="1" applyFill="1" applyBorder="1" applyAlignment="1">
      <alignment vertical="top"/>
    </xf>
    <xf numFmtId="0" fontId="3" fillId="3" borderId="27" xfId="0" applyFont="1" applyFill="1" applyBorder="1" applyAlignment="1">
      <alignment vertical="top" wrapText="1"/>
    </xf>
    <xf numFmtId="0" fontId="3" fillId="3" borderId="26" xfId="0" applyFont="1" applyFill="1" applyBorder="1"/>
    <xf numFmtId="0" fontId="3" fillId="3" borderId="27" xfId="0" applyFont="1" applyFill="1" applyBorder="1"/>
    <xf numFmtId="0" fontId="3" fillId="3" borderId="16" xfId="0" applyFont="1" applyFill="1" applyBorder="1" applyAlignment="1">
      <alignment vertical="top"/>
    </xf>
    <xf numFmtId="0" fontId="3" fillId="3" borderId="17" xfId="0" applyFont="1" applyFill="1" applyBorder="1" applyAlignment="1">
      <alignment vertical="top"/>
    </xf>
    <xf numFmtId="0" fontId="3" fillId="3" borderId="28" xfId="0" applyFont="1" applyFill="1" applyBorder="1" applyAlignment="1">
      <alignment vertical="top"/>
    </xf>
    <xf numFmtId="0" fontId="3" fillId="3" borderId="0" xfId="0" applyFont="1" applyFill="1" applyAlignment="1">
      <alignment vertical="center"/>
    </xf>
    <xf numFmtId="0" fontId="3" fillId="3" borderId="26" xfId="0" applyFont="1" applyFill="1" applyBorder="1" applyAlignment="1">
      <alignment vertical="center"/>
    </xf>
    <xf numFmtId="0" fontId="8" fillId="2" borderId="18" xfId="0" applyFont="1" applyFill="1" applyBorder="1" applyAlignment="1">
      <alignment horizontal="left" vertical="center"/>
    </xf>
    <xf numFmtId="0" fontId="9" fillId="2" borderId="1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7" xfId="0" applyFont="1" applyFill="1" applyBorder="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9" xfId="0" applyFont="1" applyFill="1" applyBorder="1" applyAlignment="1">
      <alignment vertical="top"/>
    </xf>
    <xf numFmtId="9" fontId="3" fillId="3" borderId="24" xfId="0" applyNumberFormat="1" applyFont="1" applyFill="1" applyBorder="1" applyAlignment="1">
      <alignment vertical="top"/>
    </xf>
    <xf numFmtId="0" fontId="3" fillId="2" borderId="7" xfId="0" applyFont="1" applyFill="1" applyBorder="1" applyAlignment="1">
      <alignment vertical="center" wrapText="1"/>
    </xf>
    <xf numFmtId="0" fontId="3" fillId="2" borderId="13" xfId="0" applyFont="1" applyFill="1" applyBorder="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4" fontId="3" fillId="0" borderId="1" xfId="9" applyFont="1" applyFill="1" applyBorder="1" applyAlignment="1" applyProtection="1">
      <alignment vertical="center" wrapText="1"/>
      <protection locked="0"/>
    </xf>
    <xf numFmtId="44" fontId="3" fillId="0" borderId="1" xfId="9" applyFont="1" applyFill="1" applyBorder="1" applyAlignment="1">
      <alignment vertical="center"/>
    </xf>
    <xf numFmtId="0" fontId="3" fillId="2" borderId="11"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44" fontId="3" fillId="0" borderId="4" xfId="9" applyFont="1" applyFill="1" applyBorder="1" applyAlignment="1">
      <alignment vertical="center"/>
    </xf>
    <xf numFmtId="44" fontId="3" fillId="0" borderId="4" xfId="9" applyFont="1" applyFill="1" applyBorder="1" applyAlignment="1" applyProtection="1">
      <alignment vertical="center" wrapText="1"/>
      <protection locked="0"/>
    </xf>
    <xf numFmtId="44" fontId="3" fillId="3" borderId="24" xfId="9" applyFont="1" applyFill="1" applyBorder="1" applyAlignment="1">
      <alignment vertical="top"/>
    </xf>
    <xf numFmtId="10" fontId="3" fillId="3" borderId="24" xfId="0" applyNumberFormat="1" applyFont="1" applyFill="1" applyBorder="1" applyAlignment="1">
      <alignment vertical="top"/>
    </xf>
    <xf numFmtId="0" fontId="11" fillId="3" borderId="0" xfId="0" applyFont="1" applyFill="1" applyBorder="1" applyAlignment="1">
      <alignment vertical="top"/>
    </xf>
    <xf numFmtId="0" fontId="3" fillId="3" borderId="0" xfId="0" applyFont="1" applyFill="1" applyBorder="1" applyAlignment="1">
      <alignment vertical="center"/>
    </xf>
    <xf numFmtId="0" fontId="10" fillId="3" borderId="0" xfId="0" applyFont="1" applyFill="1" applyBorder="1" applyAlignment="1">
      <alignment vertical="center"/>
    </xf>
    <xf numFmtId="0" fontId="3" fillId="2" borderId="16" xfId="0" applyFont="1" applyFill="1" applyBorder="1" applyAlignment="1">
      <alignment vertical="top"/>
    </xf>
    <xf numFmtId="0" fontId="13" fillId="3" borderId="0" xfId="0" applyFont="1" applyFill="1" applyBorder="1" applyAlignment="1">
      <alignment horizontal="centerContinuous" vertical="top"/>
    </xf>
    <xf numFmtId="0" fontId="9" fillId="3" borderId="0" xfId="0" applyFont="1" applyFill="1" applyBorder="1" applyAlignment="1">
      <alignment horizontal="centerContinuous" vertical="top" wrapText="1"/>
    </xf>
    <xf numFmtId="0" fontId="3" fillId="3" borderId="0" xfId="0" applyFont="1" applyFill="1" applyBorder="1" applyAlignment="1">
      <alignment horizontal="centerContinuous" vertical="top"/>
    </xf>
    <xf numFmtId="44" fontId="3" fillId="2" borderId="14" xfId="9" applyFont="1" applyFill="1" applyBorder="1" applyAlignment="1" applyProtection="1">
      <alignment vertical="center" wrapText="1"/>
    </xf>
    <xf numFmtId="0" fontId="3" fillId="3" borderId="0" xfId="0" applyFont="1" applyFill="1" applyAlignment="1">
      <alignment horizontal="right" vertical="top"/>
    </xf>
    <xf numFmtId="0" fontId="9" fillId="2" borderId="29" xfId="0" applyFont="1" applyFill="1" applyBorder="1" applyAlignment="1">
      <alignment vertical="top"/>
    </xf>
    <xf numFmtId="0" fontId="16" fillId="3" borderId="0" xfId="0" applyFont="1" applyFill="1" applyBorder="1" applyAlignment="1">
      <alignment vertical="top"/>
    </xf>
    <xf numFmtId="0" fontId="3" fillId="2" borderId="17" xfId="0" applyFont="1" applyFill="1" applyBorder="1" applyAlignment="1">
      <alignment vertical="top"/>
    </xf>
    <xf numFmtId="0" fontId="18" fillId="3" borderId="26" xfId="0" applyFont="1" applyFill="1" applyBorder="1" applyAlignment="1">
      <alignment horizontal="center" vertical="center"/>
    </xf>
    <xf numFmtId="44" fontId="3" fillId="0" borderId="31" xfId="9" applyFont="1" applyFill="1" applyBorder="1" applyAlignment="1" applyProtection="1">
      <alignment vertical="center" wrapText="1"/>
      <protection locked="0"/>
    </xf>
    <xf numFmtId="44" fontId="3" fillId="0" borderId="31" xfId="9" applyFont="1" applyFill="1" applyBorder="1" applyAlignment="1">
      <alignment vertical="center"/>
    </xf>
    <xf numFmtId="10" fontId="3" fillId="2" borderId="31" xfId="0" applyNumberFormat="1" applyFont="1" applyFill="1" applyBorder="1" applyAlignment="1">
      <alignment horizontal="center" vertical="top"/>
    </xf>
    <xf numFmtId="44" fontId="3" fillId="0" borderId="32" xfId="9" applyFont="1" applyFill="1" applyBorder="1" applyAlignment="1" applyProtection="1">
      <alignment vertical="top"/>
      <protection locked="0"/>
    </xf>
    <xf numFmtId="0" fontId="9" fillId="3" borderId="0" xfId="0" applyFont="1" applyFill="1" applyBorder="1" applyAlignment="1">
      <alignment vertical="top"/>
    </xf>
    <xf numFmtId="10" fontId="3" fillId="3" borderId="0" xfId="0" applyNumberFormat="1" applyFont="1" applyFill="1" applyBorder="1" applyAlignment="1">
      <alignment horizontal="center" vertical="top"/>
    </xf>
    <xf numFmtId="0" fontId="3" fillId="2" borderId="18" xfId="0" applyFont="1" applyFill="1" applyBorder="1" applyAlignment="1">
      <alignment vertical="top"/>
    </xf>
    <xf numFmtId="0" fontId="9" fillId="2" borderId="41" xfId="0" applyFont="1" applyFill="1" applyBorder="1" applyAlignment="1">
      <alignment horizontal="center" vertical="center" wrapText="1"/>
    </xf>
    <xf numFmtId="0" fontId="3" fillId="2" borderId="19" xfId="0" applyFont="1" applyFill="1" applyBorder="1" applyAlignment="1">
      <alignment horizontal="right" vertical="top"/>
    </xf>
    <xf numFmtId="0" fontId="9" fillId="2" borderId="17" xfId="0" applyFont="1" applyFill="1" applyBorder="1" applyAlignment="1">
      <alignment horizontal="right" vertical="top"/>
    </xf>
    <xf numFmtId="0" fontId="6" fillId="3" borderId="0" xfId="11" applyFont="1" applyFill="1"/>
    <xf numFmtId="0" fontId="6" fillId="3" borderId="0" xfId="11" applyFont="1" applyFill="1" applyAlignment="1">
      <alignment horizontal="right"/>
    </xf>
    <xf numFmtId="0" fontId="6" fillId="3" borderId="0" xfId="11" applyFont="1" applyFill="1" applyAlignment="1">
      <alignment wrapText="1"/>
    </xf>
    <xf numFmtId="0" fontId="8" fillId="0" borderId="19" xfId="11" applyFont="1" applyBorder="1" applyAlignment="1">
      <alignment horizontal="centerContinuous" vertical="center"/>
    </xf>
    <xf numFmtId="0" fontId="8" fillId="0" borderId="19" xfId="11" applyFont="1" applyBorder="1" applyAlignment="1">
      <alignment horizontal="centerContinuous"/>
    </xf>
    <xf numFmtId="0" fontId="8" fillId="0" borderId="19" xfId="11" applyFont="1" applyBorder="1"/>
    <xf numFmtId="0" fontId="6" fillId="0" borderId="26" xfId="11" applyFont="1" applyBorder="1"/>
    <xf numFmtId="0" fontId="6" fillId="0" borderId="0" xfId="11" applyFont="1" applyAlignment="1">
      <alignment horizontal="right"/>
    </xf>
    <xf numFmtId="0" fontId="6" fillId="0" borderId="0" xfId="11" applyFont="1"/>
    <xf numFmtId="0" fontId="6" fillId="0" borderId="27" xfId="11" applyFont="1" applyBorder="1" applyAlignment="1">
      <alignment wrapText="1"/>
    </xf>
    <xf numFmtId="0" fontId="6" fillId="0" borderId="38" xfId="11" applyFont="1" applyBorder="1"/>
    <xf numFmtId="0" fontId="6" fillId="0" borderId="39" xfId="11" applyFont="1" applyBorder="1" applyAlignment="1">
      <alignment horizontal="right"/>
    </xf>
    <xf numFmtId="0" fontId="6" fillId="0" borderId="39" xfId="11" applyFont="1" applyBorder="1"/>
    <xf numFmtId="0" fontId="6" fillId="0" borderId="40" xfId="11" applyFont="1" applyBorder="1" applyAlignment="1">
      <alignment wrapText="1"/>
    </xf>
    <xf numFmtId="0" fontId="6" fillId="0" borderId="35" xfId="11" applyFont="1" applyBorder="1"/>
    <xf numFmtId="0" fontId="6" fillId="0" borderId="36" xfId="11" applyFont="1" applyBorder="1" applyAlignment="1">
      <alignment horizontal="right"/>
    </xf>
    <xf numFmtId="0" fontId="6" fillId="0" borderId="36" xfId="11" applyFont="1" applyBorder="1"/>
    <xf numFmtId="0" fontId="6" fillId="0" borderId="37" xfId="11" applyFont="1" applyBorder="1" applyAlignment="1">
      <alignment wrapText="1"/>
    </xf>
    <xf numFmtId="0" fontId="6" fillId="0" borderId="27" xfId="11" applyFont="1" applyBorder="1"/>
    <xf numFmtId="0" fontId="6" fillId="0" borderId="40" xfId="11" applyFont="1" applyBorder="1"/>
    <xf numFmtId="0" fontId="6" fillId="0" borderId="16" xfId="11" applyFont="1" applyBorder="1"/>
    <xf numFmtId="0" fontId="6" fillId="0" borderId="17" xfId="11" applyFont="1" applyBorder="1" applyAlignment="1">
      <alignment horizontal="right"/>
    </xf>
    <xf numFmtId="0" fontId="6" fillId="0" borderId="17" xfId="11" applyFont="1" applyBorder="1"/>
    <xf numFmtId="0" fontId="8" fillId="0" borderId="18" xfId="11" applyFont="1" applyBorder="1" applyAlignment="1">
      <alignment horizontal="left"/>
    </xf>
    <xf numFmtId="0" fontId="0" fillId="0" borderId="0" xfId="11" applyFont="1"/>
    <xf numFmtId="0" fontId="16" fillId="3" borderId="0" xfId="0" applyFont="1" applyFill="1" applyAlignment="1">
      <alignment vertical="top"/>
    </xf>
    <xf numFmtId="44" fontId="3" fillId="3" borderId="0" xfId="0" applyNumberFormat="1" applyFont="1" applyFill="1" applyAlignment="1">
      <alignment vertical="top"/>
    </xf>
    <xf numFmtId="44" fontId="16" fillId="3" borderId="0" xfId="0" applyNumberFormat="1" applyFont="1" applyFill="1" applyAlignment="1">
      <alignment vertical="top"/>
    </xf>
    <xf numFmtId="0" fontId="0" fillId="0" borderId="27" xfId="11" applyFont="1" applyBorder="1"/>
    <xf numFmtId="0" fontId="13" fillId="3" borderId="0" xfId="0" applyFont="1" applyFill="1" applyBorder="1" applyAlignment="1">
      <alignment horizontal="center" vertical="top"/>
    </xf>
    <xf numFmtId="0" fontId="3" fillId="3" borderId="0" xfId="0" applyFont="1" applyFill="1" applyBorder="1" applyAlignment="1">
      <alignment vertical="top" wrapText="1"/>
    </xf>
    <xf numFmtId="44" fontId="3" fillId="0" borderId="32" xfId="9" applyFont="1" applyFill="1" applyBorder="1" applyAlignment="1" applyProtection="1">
      <alignment vertical="center"/>
      <protection locked="0"/>
    </xf>
    <xf numFmtId="44" fontId="3" fillId="0" borderId="22" xfId="9" applyFont="1" applyFill="1" applyBorder="1" applyAlignment="1" applyProtection="1">
      <alignment vertical="center"/>
      <protection locked="0"/>
    </xf>
    <xf numFmtId="44" fontId="3" fillId="0" borderId="12" xfId="9" applyFont="1" applyFill="1" applyBorder="1" applyAlignment="1" applyProtection="1">
      <alignment vertical="center"/>
      <protection locked="0"/>
    </xf>
    <xf numFmtId="0" fontId="3" fillId="2" borderId="43" xfId="0" applyFont="1" applyFill="1" applyBorder="1" applyAlignment="1">
      <alignment vertical="center" wrapText="1"/>
    </xf>
    <xf numFmtId="44" fontId="3" fillId="0" borderId="32" xfId="9" applyFont="1" applyFill="1" applyBorder="1" applyAlignment="1" applyProtection="1">
      <alignment vertical="center" wrapText="1"/>
      <protection locked="0"/>
    </xf>
    <xf numFmtId="44" fontId="3" fillId="0" borderId="12" xfId="9" applyFont="1" applyFill="1" applyBorder="1" applyAlignment="1" applyProtection="1">
      <alignment vertical="center" wrapText="1"/>
      <protection locked="0"/>
    </xf>
    <xf numFmtId="0" fontId="0" fillId="3" borderId="17" xfId="0" applyFont="1" applyFill="1" applyBorder="1" applyAlignment="1">
      <alignment vertical="top"/>
    </xf>
    <xf numFmtId="0" fontId="3" fillId="2" borderId="13" xfId="0" applyFont="1" applyFill="1" applyBorder="1" applyAlignment="1">
      <alignment vertical="center"/>
    </xf>
    <xf numFmtId="0" fontId="3" fillId="2" borderId="43"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44" fontId="3" fillId="0" borderId="22" xfId="9" applyNumberFormat="1" applyFont="1" applyFill="1" applyBorder="1" applyAlignment="1">
      <alignment vertical="top"/>
    </xf>
    <xf numFmtId="44" fontId="3" fillId="0" borderId="12" xfId="9" applyNumberFormat="1" applyFont="1" applyFill="1" applyBorder="1" applyAlignment="1">
      <alignment vertical="center"/>
    </xf>
    <xf numFmtId="10" fontId="3" fillId="2" borderId="9" xfId="0" applyNumberFormat="1" applyFont="1" applyFill="1" applyBorder="1" applyAlignment="1" applyProtection="1">
      <alignment horizontal="center" vertical="center" wrapText="1"/>
      <protection locked="0"/>
    </xf>
    <xf numFmtId="10" fontId="3" fillId="2" borderId="1" xfId="0" applyNumberFormat="1" applyFont="1" applyFill="1" applyBorder="1" applyAlignment="1" applyProtection="1">
      <alignment horizontal="center" vertical="center" wrapText="1"/>
      <protection locked="0"/>
    </xf>
    <xf numFmtId="10" fontId="3" fillId="2" borderId="4" xfId="0" applyNumberFormat="1" applyFont="1" applyFill="1" applyBorder="1" applyAlignment="1" applyProtection="1">
      <alignment horizontal="center" vertical="center" wrapText="1"/>
      <protection locked="0"/>
    </xf>
    <xf numFmtId="10" fontId="3" fillId="2" borderId="31" xfId="0" applyNumberFormat="1" applyFont="1" applyFill="1" applyBorder="1" applyAlignment="1" applyProtection="1">
      <alignment horizontal="center" vertical="center" wrapText="1"/>
      <protection locked="0"/>
    </xf>
    <xf numFmtId="0" fontId="9" fillId="3" borderId="0" xfId="0" applyFont="1" applyFill="1" applyBorder="1" applyAlignment="1">
      <alignment vertical="center"/>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44" fontId="3" fillId="3" borderId="0" xfId="9" applyFont="1" applyFill="1" applyBorder="1" applyAlignment="1" applyProtection="1">
      <alignment vertical="center" wrapText="1"/>
    </xf>
    <xf numFmtId="9" fontId="3" fillId="3" borderId="0" xfId="0" applyNumberFormat="1" applyFont="1" applyFill="1" applyBorder="1" applyAlignment="1" applyProtection="1">
      <alignment horizontal="center" vertical="center" wrapText="1"/>
    </xf>
    <xf numFmtId="44" fontId="3" fillId="3" borderId="0" xfId="9" applyFont="1" applyFill="1" applyBorder="1" applyAlignment="1">
      <alignment vertical="center"/>
    </xf>
    <xf numFmtId="10" fontId="3" fillId="3" borderId="26" xfId="0" applyNumberFormat="1" applyFont="1" applyFill="1" applyBorder="1" applyAlignment="1">
      <alignment horizontal="center" vertical="top"/>
    </xf>
    <xf numFmtId="0" fontId="9" fillId="2" borderId="18" xfId="0" applyFont="1" applyFill="1" applyBorder="1" applyAlignment="1">
      <alignment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9" xfId="0" applyFont="1" applyFill="1" applyBorder="1" applyAlignment="1">
      <alignment horizontal="center" vertical="center" wrapText="1"/>
    </xf>
    <xf numFmtId="9" fontId="3" fillId="3" borderId="14" xfId="0" applyNumberFormat="1" applyFont="1" applyFill="1" applyBorder="1" applyAlignment="1" applyProtection="1">
      <alignment horizontal="center" vertical="center" wrapText="1"/>
    </xf>
    <xf numFmtId="44" fontId="3" fillId="0" borderId="14" xfId="9" applyFont="1" applyFill="1" applyBorder="1" applyAlignment="1">
      <alignment vertical="center"/>
    </xf>
    <xf numFmtId="10" fontId="3" fillId="3" borderId="14" xfId="0" applyNumberFormat="1" applyFont="1" applyFill="1" applyBorder="1" applyAlignment="1">
      <alignment horizontal="center" vertical="top"/>
    </xf>
    <xf numFmtId="44" fontId="3" fillId="2" borderId="15" xfId="9" applyFont="1" applyFill="1" applyBorder="1" applyAlignment="1">
      <alignment vertical="top"/>
    </xf>
    <xf numFmtId="0" fontId="3" fillId="3" borderId="20" xfId="0" applyFont="1" applyFill="1" applyBorder="1" applyAlignment="1">
      <alignment vertical="top"/>
    </xf>
    <xf numFmtId="44" fontId="3" fillId="2" borderId="41" xfId="9" applyNumberFormat="1" applyFont="1" applyFill="1" applyBorder="1" applyAlignment="1">
      <alignment vertical="top"/>
    </xf>
    <xf numFmtId="43" fontId="3" fillId="2" borderId="41" xfId="9" applyNumberFormat="1" applyFont="1" applyFill="1" applyBorder="1" applyAlignment="1">
      <alignment vertical="top"/>
    </xf>
    <xf numFmtId="0" fontId="9" fillId="2" borderId="7" xfId="0" applyFont="1" applyFill="1" applyBorder="1" applyAlignment="1">
      <alignment vertical="top"/>
    </xf>
    <xf numFmtId="10" fontId="3" fillId="2" borderId="9" xfId="0" applyNumberFormat="1" applyFont="1" applyFill="1" applyBorder="1" applyAlignment="1" applyProtection="1">
      <alignment horizontal="center" vertical="top"/>
    </xf>
    <xf numFmtId="0" fontId="3" fillId="2" borderId="21" xfId="0" applyFont="1" applyFill="1" applyBorder="1" applyAlignment="1">
      <alignment vertical="top" wrapText="1"/>
    </xf>
    <xf numFmtId="44" fontId="3" fillId="3" borderId="25" xfId="9" applyFont="1" applyFill="1" applyBorder="1" applyAlignment="1">
      <alignment vertical="top"/>
    </xf>
    <xf numFmtId="0" fontId="3" fillId="4" borderId="19" xfId="0" applyFont="1" applyFill="1" applyBorder="1" applyAlignment="1">
      <alignment horizontal="centerContinuous" vertical="center"/>
    </xf>
    <xf numFmtId="0" fontId="3" fillId="4" borderId="20" xfId="0" applyFont="1" applyFill="1" applyBorder="1" applyAlignment="1">
      <alignment horizontal="centerContinuous" vertical="center"/>
    </xf>
    <xf numFmtId="44" fontId="17" fillId="4" borderId="19" xfId="0" applyNumberFormat="1" applyFont="1" applyFill="1" applyBorder="1" applyAlignment="1">
      <alignment horizontal="centerContinuous" vertical="center"/>
    </xf>
    <xf numFmtId="0" fontId="16" fillId="4" borderId="19" xfId="0" applyFont="1" applyFill="1" applyBorder="1" applyAlignment="1">
      <alignment horizontal="centerContinuous" vertical="center"/>
    </xf>
    <xf numFmtId="44" fontId="17" fillId="4" borderId="20" xfId="0" applyNumberFormat="1" applyFont="1" applyFill="1" applyBorder="1" applyAlignment="1">
      <alignment horizontal="centerContinuous" vertical="center"/>
    </xf>
    <xf numFmtId="43" fontId="14" fillId="5" borderId="30" xfId="0" applyNumberFormat="1" applyFont="1" applyFill="1" applyBorder="1" applyAlignment="1">
      <alignment horizontal="centerContinuous" vertical="center" shrinkToFit="1"/>
    </xf>
    <xf numFmtId="9" fontId="12" fillId="5" borderId="33" xfId="0" applyNumberFormat="1" applyFont="1" applyFill="1" applyBorder="1" applyAlignment="1">
      <alignment horizontal="centerContinuous" vertical="center" shrinkToFit="1"/>
    </xf>
    <xf numFmtId="43" fontId="15" fillId="5" borderId="33" xfId="0" applyNumberFormat="1" applyFont="1" applyFill="1" applyBorder="1" applyAlignment="1">
      <alignment horizontal="centerContinuous" vertical="center" shrinkToFit="1"/>
    </xf>
    <xf numFmtId="0" fontId="15" fillId="5" borderId="33" xfId="0" applyFont="1" applyFill="1" applyBorder="1" applyAlignment="1">
      <alignment horizontal="centerContinuous" vertical="center" shrinkToFit="1"/>
    </xf>
    <xf numFmtId="43" fontId="15" fillId="5" borderId="34" xfId="0" applyNumberFormat="1" applyFont="1" applyFill="1" applyBorder="1" applyAlignment="1">
      <alignment horizontal="centerContinuous" vertical="center" shrinkToFit="1"/>
    </xf>
    <xf numFmtId="0" fontId="9" fillId="5" borderId="18" xfId="0" applyFont="1" applyFill="1" applyBorder="1" applyAlignment="1">
      <alignment vertical="top"/>
    </xf>
    <xf numFmtId="0" fontId="9" fillId="5" borderId="19" xfId="0" applyFont="1" applyFill="1" applyBorder="1" applyAlignment="1">
      <alignment vertical="top"/>
    </xf>
    <xf numFmtId="0" fontId="9" fillId="5" borderId="29" xfId="0" applyFont="1" applyFill="1" applyBorder="1" applyAlignment="1">
      <alignment vertical="top"/>
    </xf>
    <xf numFmtId="0" fontId="9" fillId="4" borderId="19" xfId="0" applyFont="1" applyFill="1" applyBorder="1" applyAlignment="1">
      <alignment vertical="top"/>
    </xf>
    <xf numFmtId="0" fontId="9" fillId="2" borderId="21" xfId="0" applyFont="1" applyFill="1" applyBorder="1" applyAlignment="1">
      <alignment vertical="top"/>
    </xf>
    <xf numFmtId="10" fontId="3" fillId="2" borderId="1" xfId="0" applyNumberFormat="1" applyFont="1" applyFill="1" applyBorder="1" applyAlignment="1" applyProtection="1">
      <alignment horizontal="center" vertical="top"/>
    </xf>
    <xf numFmtId="0" fontId="16" fillId="3" borderId="0" xfId="0" applyFont="1" applyFill="1"/>
    <xf numFmtId="0" fontId="13" fillId="3" borderId="0" xfId="0" applyFont="1" applyFill="1" applyAlignment="1">
      <alignment vertical="top"/>
    </xf>
    <xf numFmtId="0" fontId="13" fillId="3" borderId="0" xfId="0" applyFont="1" applyFill="1" applyBorder="1" applyAlignment="1">
      <alignment vertical="top"/>
    </xf>
    <xf numFmtId="44" fontId="13" fillId="3" borderId="0" xfId="0" applyNumberFormat="1" applyFont="1" applyFill="1" applyBorder="1" applyAlignment="1">
      <alignment vertical="top"/>
    </xf>
    <xf numFmtId="0" fontId="13" fillId="3" borderId="0" xfId="0" applyFont="1" applyFill="1"/>
    <xf numFmtId="0" fontId="13" fillId="3" borderId="0" xfId="0" applyFont="1" applyFill="1" applyAlignment="1">
      <alignment vertical="center"/>
    </xf>
    <xf numFmtId="0" fontId="13" fillId="3" borderId="0" xfId="0" applyFont="1" applyFill="1" applyAlignment="1">
      <alignment vertical="top" wrapText="1"/>
    </xf>
    <xf numFmtId="0" fontId="16" fillId="3" borderId="0" xfId="0" applyNumberFormat="1" applyFont="1" applyFill="1" applyAlignment="1">
      <alignment vertical="top" wrapText="1"/>
    </xf>
    <xf numFmtId="0" fontId="16" fillId="3" borderId="0" xfId="0" applyFont="1" applyFill="1" applyAlignment="1">
      <alignment vertical="top" wrapText="1"/>
    </xf>
    <xf numFmtId="44" fontId="16" fillId="3" borderId="0" xfId="0" applyNumberFormat="1" applyFont="1" applyFill="1" applyAlignment="1">
      <alignment vertical="top" wrapText="1"/>
    </xf>
    <xf numFmtId="44" fontId="16" fillId="3" borderId="0" xfId="0" applyNumberFormat="1" applyFont="1" applyFill="1" applyBorder="1" applyAlignment="1">
      <alignment vertical="top"/>
    </xf>
    <xf numFmtId="44" fontId="16" fillId="3" borderId="0" xfId="0" applyNumberFormat="1" applyFont="1" applyFill="1"/>
    <xf numFmtId="0" fontId="16" fillId="3" borderId="0" xfId="0" applyFont="1" applyFill="1" applyAlignment="1">
      <alignment vertical="center"/>
    </xf>
    <xf numFmtId="44" fontId="16" fillId="3" borderId="0" xfId="0" applyNumberFormat="1" applyFont="1" applyFill="1" applyAlignment="1">
      <alignment vertical="center"/>
    </xf>
    <xf numFmtId="44" fontId="9" fillId="0" borderId="42" xfId="9" applyNumberFormat="1" applyFont="1" applyFill="1" applyBorder="1" applyAlignment="1">
      <alignment vertical="top"/>
    </xf>
    <xf numFmtId="0" fontId="3" fillId="2" borderId="29" xfId="0" applyFont="1" applyFill="1" applyBorder="1" applyAlignment="1">
      <alignment vertical="center"/>
    </xf>
    <xf numFmtId="44" fontId="3" fillId="0" borderId="14" xfId="9" applyFont="1" applyFill="1" applyBorder="1" applyAlignment="1" applyProtection="1">
      <alignment vertical="center" wrapText="1"/>
      <protection locked="0"/>
    </xf>
    <xf numFmtId="10" fontId="3" fillId="2" borderId="14" xfId="0" applyNumberFormat="1" applyFont="1" applyFill="1" applyBorder="1" applyAlignment="1" applyProtection="1">
      <alignment horizontal="center" vertical="center" wrapText="1"/>
      <protection locked="0"/>
    </xf>
    <xf numFmtId="10" fontId="3" fillId="2" borderId="14" xfId="0" applyNumberFormat="1" applyFont="1" applyFill="1" applyBorder="1" applyAlignment="1">
      <alignment horizontal="center" vertical="top"/>
    </xf>
    <xf numFmtId="44" fontId="3" fillId="0" borderId="15" xfId="9" applyFont="1" applyFill="1" applyBorder="1" applyAlignment="1">
      <alignment vertical="top"/>
    </xf>
    <xf numFmtId="0" fontId="3" fillId="3" borderId="0" xfId="0" applyFont="1" applyFill="1" applyBorder="1" applyAlignment="1">
      <alignment vertical="top" wrapText="1"/>
    </xf>
    <xf numFmtId="0" fontId="9" fillId="2" borderId="24" xfId="0" applyFont="1" applyFill="1" applyBorder="1" applyAlignment="1">
      <alignment horizontal="centerContinuous" vertical="top"/>
    </xf>
    <xf numFmtId="0" fontId="3" fillId="2" borderId="24" xfId="0" applyFont="1" applyFill="1" applyBorder="1" applyAlignment="1">
      <alignment horizontal="centerContinuous" vertical="top"/>
    </xf>
    <xf numFmtId="0" fontId="3" fillId="2" borderId="25" xfId="0" applyFont="1" applyFill="1" applyBorder="1" applyAlignment="1">
      <alignment horizontal="centerContinuous" vertical="top"/>
    </xf>
    <xf numFmtId="0" fontId="9" fillId="2" borderId="16" xfId="0" applyFont="1" applyFill="1" applyBorder="1" applyAlignment="1">
      <alignment horizontal="centerContinuous" vertical="top"/>
    </xf>
    <xf numFmtId="0" fontId="9" fillId="2" borderId="17" xfId="0" applyFont="1" applyFill="1" applyBorder="1" applyAlignment="1">
      <alignment horizontal="centerContinuous" vertical="top"/>
    </xf>
    <xf numFmtId="0" fontId="3" fillId="2" borderId="17" xfId="0" applyFont="1" applyFill="1" applyBorder="1" applyAlignment="1">
      <alignment horizontal="centerContinuous" vertical="top"/>
    </xf>
    <xf numFmtId="0" fontId="3" fillId="2" borderId="28" xfId="0" applyFont="1" applyFill="1" applyBorder="1" applyAlignment="1">
      <alignment horizontal="centerContinuous" vertical="top"/>
    </xf>
    <xf numFmtId="0" fontId="0" fillId="3" borderId="0" xfId="0" applyFill="1" applyAlignment="1">
      <alignment vertical="top" wrapText="1"/>
    </xf>
    <xf numFmtId="0" fontId="3" fillId="2" borderId="5" xfId="0" applyFont="1" applyFill="1" applyBorder="1" applyAlignment="1">
      <alignment horizontal="left" vertical="top"/>
    </xf>
    <xf numFmtId="0" fontId="3" fillId="2" borderId="3" xfId="0" applyFont="1" applyFill="1" applyBorder="1" applyAlignment="1">
      <alignment horizontal="left" vertical="top" wrapText="1"/>
    </xf>
    <xf numFmtId="44" fontId="3" fillId="5" borderId="17" xfId="9" applyFont="1" applyFill="1" applyBorder="1" applyAlignment="1">
      <alignment vertical="center"/>
    </xf>
    <xf numFmtId="10" fontId="3" fillId="5" borderId="17" xfId="0" applyNumberFormat="1" applyFont="1" applyFill="1" applyBorder="1" applyAlignment="1">
      <alignment horizontal="center" vertical="center"/>
    </xf>
    <xf numFmtId="44" fontId="3" fillId="5" borderId="28" xfId="9" applyNumberFormat="1" applyFont="1" applyFill="1" applyBorder="1" applyAlignment="1">
      <alignment vertical="center"/>
    </xf>
    <xf numFmtId="10" fontId="3" fillId="5" borderId="18" xfId="0" applyNumberFormat="1" applyFont="1" applyFill="1" applyBorder="1" applyAlignment="1" applyProtection="1">
      <alignment horizontal="center" vertical="center" wrapText="1"/>
      <protection locked="0"/>
    </xf>
    <xf numFmtId="0" fontId="9" fillId="2" borderId="23" xfId="13" applyFont="1" applyFill="1" applyBorder="1" applyAlignment="1">
      <alignment horizontal="centerContinuous" vertical="top"/>
    </xf>
    <xf numFmtId="0" fontId="20" fillId="4" borderId="18" xfId="14" applyFill="1" applyBorder="1" applyAlignment="1">
      <alignment horizontal="centerContinuous" vertical="center"/>
    </xf>
    <xf numFmtId="0" fontId="20" fillId="4" borderId="18" xfId="14" applyFill="1" applyBorder="1" applyAlignment="1">
      <alignment vertical="top"/>
    </xf>
    <xf numFmtId="0" fontId="20" fillId="4" borderId="15" xfId="14" applyFill="1" applyBorder="1" applyAlignment="1">
      <alignment horizontal="center" vertical="center" wrapText="1"/>
    </xf>
    <xf numFmtId="0" fontId="6" fillId="3" borderId="17" xfId="11" applyFont="1" applyFill="1" applyBorder="1" applyAlignment="1">
      <alignment wrapText="1"/>
    </xf>
    <xf numFmtId="0" fontId="6" fillId="0" borderId="15" xfId="13" applyFont="1" applyBorder="1" applyAlignment="1">
      <alignment horizontal="left" vertical="center"/>
    </xf>
    <xf numFmtId="0" fontId="21" fillId="0" borderId="28" xfId="0" applyFont="1" applyBorder="1" applyAlignment="1">
      <alignment horizontal="right" vertical="top"/>
    </xf>
    <xf numFmtId="0" fontId="22" fillId="3" borderId="16" xfId="0" applyFont="1" applyFill="1" applyBorder="1" applyAlignment="1">
      <alignment vertical="top"/>
    </xf>
    <xf numFmtId="0" fontId="22" fillId="3" borderId="28" xfId="0" applyFont="1" applyFill="1" applyBorder="1" applyAlignment="1">
      <alignment horizontal="right" vertical="top"/>
    </xf>
    <xf numFmtId="44" fontId="22" fillId="3" borderId="0" xfId="0" applyNumberFormat="1" applyFont="1" applyFill="1" applyBorder="1" applyAlignment="1">
      <alignment horizontal="center" vertical="top"/>
    </xf>
    <xf numFmtId="0" fontId="20" fillId="3" borderId="0" xfId="0" applyFont="1" applyFill="1" applyBorder="1" applyAlignment="1">
      <alignment horizontal="left" vertical="top"/>
    </xf>
    <xf numFmtId="0" fontId="23" fillId="3" borderId="0" xfId="0" applyFont="1" applyFill="1" applyBorder="1" applyAlignment="1">
      <alignment vertical="top"/>
    </xf>
    <xf numFmtId="0" fontId="4" fillId="3" borderId="0" xfId="12" applyFill="1" applyBorder="1" applyAlignment="1">
      <alignment vertical="top"/>
    </xf>
    <xf numFmtId="0" fontId="20" fillId="4" borderId="19" xfId="14" applyFill="1" applyBorder="1" applyAlignment="1">
      <alignment vertical="top"/>
    </xf>
    <xf numFmtId="0" fontId="22" fillId="3" borderId="17" xfId="0" applyFont="1" applyFill="1" applyBorder="1" applyAlignment="1">
      <alignment horizontal="right" vertical="top"/>
    </xf>
    <xf numFmtId="0" fontId="3" fillId="3" borderId="0" xfId="0" applyFont="1" applyFill="1" applyBorder="1" applyAlignment="1">
      <alignment vertical="top" wrapText="1"/>
    </xf>
    <xf numFmtId="0" fontId="23" fillId="3" borderId="0" xfId="0" applyFont="1" applyFill="1" applyAlignment="1" applyProtection="1">
      <alignment vertical="top"/>
    </xf>
    <xf numFmtId="0" fontId="23" fillId="3" borderId="0" xfId="0" applyFont="1" applyFill="1" applyProtection="1"/>
    <xf numFmtId="0" fontId="23" fillId="3" borderId="0" xfId="0" applyFont="1" applyFill="1" applyBorder="1" applyAlignment="1" applyProtection="1">
      <alignment vertical="top"/>
    </xf>
    <xf numFmtId="44" fontId="23" fillId="3" borderId="0" xfId="0" applyNumberFormat="1" applyFont="1" applyFill="1" applyAlignment="1" applyProtection="1">
      <alignment vertical="top"/>
    </xf>
    <xf numFmtId="0" fontId="24" fillId="3" borderId="0" xfId="0" applyFont="1" applyFill="1" applyAlignment="1">
      <alignment vertical="top"/>
    </xf>
    <xf numFmtId="0" fontId="24" fillId="3" borderId="0" xfId="0" applyFont="1" applyFill="1" applyAlignment="1">
      <alignment vertical="top" wrapText="1"/>
    </xf>
    <xf numFmtId="164" fontId="24" fillId="3" borderId="0" xfId="0" applyNumberFormat="1" applyFont="1" applyFill="1" applyAlignment="1">
      <alignment vertical="top"/>
    </xf>
    <xf numFmtId="44" fontId="24" fillId="3" borderId="0" xfId="0" applyNumberFormat="1" applyFont="1" applyFill="1" applyAlignment="1">
      <alignment vertical="top"/>
    </xf>
    <xf numFmtId="0" fontId="24" fillId="3" borderId="0" xfId="0" applyFont="1" applyFill="1" applyBorder="1" applyAlignment="1">
      <alignment vertical="top"/>
    </xf>
    <xf numFmtId="44" fontId="24" fillId="3" borderId="0" xfId="0" applyNumberFormat="1" applyFont="1" applyFill="1" applyBorder="1" applyAlignment="1">
      <alignment vertical="top"/>
    </xf>
    <xf numFmtId="44" fontId="24" fillId="3" borderId="0" xfId="0" applyNumberFormat="1" applyFont="1" applyFill="1"/>
    <xf numFmtId="0" fontId="24" fillId="3" borderId="0" xfId="0" applyFont="1" applyFill="1"/>
    <xf numFmtId="44" fontId="23" fillId="6" borderId="0" xfId="0" applyNumberFormat="1" applyFont="1" applyFill="1" applyAlignment="1" applyProtection="1">
      <alignment vertical="top"/>
    </xf>
    <xf numFmtId="0" fontId="3" fillId="2" borderId="46" xfId="0" applyFont="1" applyFill="1" applyBorder="1" applyAlignment="1">
      <alignment vertical="top"/>
    </xf>
    <xf numFmtId="0" fontId="3" fillId="3" borderId="0" xfId="0" applyFont="1" applyFill="1" applyBorder="1" applyAlignment="1">
      <alignment vertical="top" wrapText="1"/>
    </xf>
    <xf numFmtId="0" fontId="0" fillId="0" borderId="0" xfId="0" applyAlignment="1">
      <alignment vertical="top" wrapText="1"/>
    </xf>
  </cellXfs>
  <cellStyles count="15">
    <cellStyle name="Currency" xfId="9" builtinId="4"/>
    <cellStyle name="Followed Hyperlink" xfId="2" builtinId="9" hidden="1"/>
    <cellStyle name="Followed Hyperlink" xfId="4" builtinId="9" hidden="1"/>
    <cellStyle name="Followed Hyperlink" xfId="6" builtinId="9" hidden="1"/>
    <cellStyle name="Followed Hyperlink" xfId="8" builtinId="9" hidden="1"/>
    <cellStyle name="Heading 1" xfId="13" builtinId="16" customBuiltin="1"/>
    <cellStyle name="Heading 2" xfId="14" builtinId="17" customBuiltin="1"/>
    <cellStyle name="Hyperlink" xfId="1" builtinId="8" hidden="1"/>
    <cellStyle name="Hyperlink" xfId="3" builtinId="8" hidden="1"/>
    <cellStyle name="Hyperlink" xfId="5" builtinId="8" hidden="1"/>
    <cellStyle name="Hyperlink" xfId="7" builtinId="8" hidden="1"/>
    <cellStyle name="Hyperlink" xfId="12" builtinId="8"/>
    <cellStyle name="Normal" xfId="0" builtinId="0"/>
    <cellStyle name="Normal 2" xfId="10" xr:uid="{57716977-3A79-41B8-8589-CE4E636DACF0}"/>
    <cellStyle name="Normal 2 2" xfId="11" xr:uid="{36AA2107-0BB5-4955-9009-84D5FB489EB9}"/>
  </cellStyles>
  <dxfs count="0"/>
  <tableStyles count="0" defaultTableStyle="TableStyleMedium9" defaultPivotStyle="PivotStyleMedium4"/>
  <colors>
    <mruColors>
      <color rgb="FFBFBFBF"/>
      <color rgb="FFE7F0F9"/>
      <color rgb="FFD7E5F5"/>
      <color rgb="FFC7DAF1"/>
      <color rgb="FFBCD3EE"/>
      <color rgb="FFA2C2E8"/>
      <color rgb="FFA0C1E8"/>
      <color rgb="FF3399FF"/>
      <color rgb="FFE3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document/information-notice-5000-818641-7a-fees-effective-october-1-2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ba.gov/document/information-notice-5000-818641-7a-fees-effective-october-1-20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1"/>
  <sheetViews>
    <sheetView showGridLines="0" showRowColHeaders="0" tabSelected="1" zoomScale="90" zoomScaleNormal="90" workbookViewId="0">
      <selection activeCell="G10" sqref="G10"/>
    </sheetView>
  </sheetViews>
  <sheetFormatPr baseColWidth="10" defaultColWidth="11" defaultRowHeight="19" x14ac:dyDescent="0.2"/>
  <cols>
    <col min="1" max="2" width="2.6640625" style="24" customWidth="1"/>
    <col min="3" max="4" width="2.6640625" style="28" customWidth="1"/>
    <col min="5" max="5" width="31.6640625" style="28" customWidth="1"/>
    <col min="6" max="6" width="21.6640625" style="28" customWidth="1"/>
    <col min="7" max="7" width="18.6640625" style="28" customWidth="1"/>
    <col min="8" max="8" width="14.6640625" style="28" customWidth="1"/>
    <col min="9" max="9" width="18.6640625" style="24" customWidth="1"/>
    <col min="10" max="10" width="14.6640625" style="24" customWidth="1"/>
    <col min="11" max="11" width="18.6640625" style="24" customWidth="1"/>
    <col min="12" max="13" width="2.6640625" style="24" customWidth="1"/>
    <col min="14" max="14" width="17.1640625" style="24" bestFit="1" customWidth="1"/>
    <col min="15" max="15" width="14" style="24" bestFit="1" customWidth="1"/>
    <col min="16" max="16" width="17.1640625" style="24" bestFit="1" customWidth="1"/>
    <col min="17" max="18" width="14" style="24" bestFit="1" customWidth="1"/>
    <col min="19" max="16384" width="11" style="24"/>
  </cols>
  <sheetData>
    <row r="1" spans="1:20" ht="8" customHeight="1" thickBot="1" x14ac:dyDescent="0.25"/>
    <row r="2" spans="1:20" ht="20" thickBot="1" x14ac:dyDescent="0.25">
      <c r="B2" s="31"/>
      <c r="C2" s="32"/>
      <c r="D2" s="32"/>
      <c r="E2" s="32"/>
      <c r="F2" s="32"/>
      <c r="G2" s="32"/>
      <c r="H2" s="32"/>
      <c r="I2" s="33"/>
      <c r="J2" s="33"/>
      <c r="K2" s="33"/>
      <c r="L2" s="34"/>
    </row>
    <row r="3" spans="1:20" ht="20" customHeight="1" x14ac:dyDescent="0.2">
      <c r="B3" s="35"/>
      <c r="C3" s="215" t="s">
        <v>104</v>
      </c>
      <c r="D3" s="201"/>
      <c r="E3" s="201"/>
      <c r="F3" s="201"/>
      <c r="G3" s="202"/>
      <c r="H3" s="202"/>
      <c r="I3" s="202"/>
      <c r="J3" s="202"/>
      <c r="K3" s="203"/>
      <c r="L3" s="36"/>
    </row>
    <row r="4" spans="1:20" ht="20" customHeight="1" thickBot="1" x14ac:dyDescent="0.25">
      <c r="B4" s="35"/>
      <c r="C4" s="204" t="s">
        <v>105</v>
      </c>
      <c r="D4" s="205"/>
      <c r="E4" s="205"/>
      <c r="F4" s="205"/>
      <c r="G4" s="206"/>
      <c r="H4" s="206"/>
      <c r="I4" s="206"/>
      <c r="J4" s="206"/>
      <c r="K4" s="207"/>
      <c r="L4" s="36"/>
    </row>
    <row r="5" spans="1:20" ht="18.75" customHeight="1" thickBot="1" x14ac:dyDescent="0.25">
      <c r="B5" s="35"/>
      <c r="C5" s="73"/>
      <c r="D5" s="74"/>
      <c r="E5" s="74"/>
      <c r="F5" s="74"/>
      <c r="G5" s="121"/>
      <c r="H5" s="75"/>
      <c r="I5" s="75"/>
      <c r="J5" s="75"/>
      <c r="K5" s="75"/>
      <c r="L5" s="36"/>
    </row>
    <row r="6" spans="1:20" s="43" customFormat="1" ht="20" customHeight="1" thickBot="1" x14ac:dyDescent="0.25">
      <c r="B6" s="44"/>
      <c r="C6" s="45" t="s">
        <v>108</v>
      </c>
      <c r="D6" s="46"/>
      <c r="E6" s="46"/>
      <c r="F6" s="46"/>
      <c r="G6" s="47"/>
      <c r="H6" s="47"/>
      <c r="I6" s="47"/>
      <c r="J6" s="47"/>
      <c r="K6" s="48"/>
      <c r="L6" s="49"/>
    </row>
    <row r="7" spans="1:20" ht="18.75" customHeight="1" thickBot="1" x14ac:dyDescent="0.25">
      <c r="B7" s="35"/>
      <c r="C7" s="25"/>
      <c r="D7" s="25"/>
      <c r="E7" s="25"/>
      <c r="F7" s="122"/>
      <c r="G7" s="25"/>
      <c r="H7" s="25"/>
      <c r="I7" s="26"/>
      <c r="J7" s="26"/>
      <c r="K7" s="26"/>
      <c r="L7" s="36"/>
      <c r="O7" s="43"/>
    </row>
    <row r="8" spans="1:20" ht="18.75" customHeight="1" thickBot="1" x14ac:dyDescent="0.25">
      <c r="B8" s="35"/>
      <c r="C8" s="216" t="s">
        <v>93</v>
      </c>
      <c r="D8" s="164"/>
      <c r="E8" s="164"/>
      <c r="F8" s="164"/>
      <c r="G8" s="164"/>
      <c r="H8" s="164"/>
      <c r="I8" s="164"/>
      <c r="J8" s="164"/>
      <c r="K8" s="165"/>
      <c r="L8" s="36"/>
    </row>
    <row r="9" spans="1:20" ht="18.75" customHeight="1" thickBot="1" x14ac:dyDescent="0.25">
      <c r="B9" s="35"/>
      <c r="C9" s="23" t="s">
        <v>91</v>
      </c>
      <c r="D9" s="52"/>
      <c r="E9" s="52"/>
      <c r="F9" s="78"/>
      <c r="G9" s="50" t="s">
        <v>2</v>
      </c>
      <c r="H9" s="50" t="s">
        <v>1</v>
      </c>
      <c r="I9" s="50" t="s">
        <v>53</v>
      </c>
      <c r="J9" s="50" t="s">
        <v>8</v>
      </c>
      <c r="K9" s="51" t="s">
        <v>0</v>
      </c>
      <c r="L9" s="36"/>
      <c r="R9" s="118"/>
    </row>
    <row r="10" spans="1:20" ht="18.75" customHeight="1" x14ac:dyDescent="0.2">
      <c r="B10" s="81">
        <v>1</v>
      </c>
      <c r="C10" s="18"/>
      <c r="D10" s="19"/>
      <c r="E10" s="19" t="s">
        <v>11</v>
      </c>
      <c r="F10" s="13"/>
      <c r="G10" s="6">
        <v>0</v>
      </c>
      <c r="H10" s="138">
        <v>0.75</v>
      </c>
      <c r="I10" s="7">
        <f>Formulas!I10</f>
        <v>0</v>
      </c>
      <c r="J10" s="15">
        <v>0</v>
      </c>
      <c r="K10" s="8">
        <f>Formulas!K10</f>
        <v>0</v>
      </c>
      <c r="L10" s="36"/>
    </row>
    <row r="11" spans="1:20" ht="18.75" customHeight="1" thickBot="1" x14ac:dyDescent="0.25">
      <c r="B11" s="81">
        <v>2</v>
      </c>
      <c r="C11" s="17"/>
      <c r="D11" s="20"/>
      <c r="E11" s="20" t="s">
        <v>9</v>
      </c>
      <c r="F11" s="14"/>
      <c r="G11" s="9"/>
      <c r="H11" s="140">
        <v>0.75</v>
      </c>
      <c r="I11" s="10">
        <f>Formulas!I11</f>
        <v>0</v>
      </c>
      <c r="J11" s="16">
        <v>2.5000000000000001E-3</v>
      </c>
      <c r="K11" s="11">
        <f>Formulas!K11</f>
        <v>0</v>
      </c>
      <c r="L11" s="36"/>
    </row>
    <row r="12" spans="1:20" ht="9" customHeight="1" thickBot="1" x14ac:dyDescent="0.25">
      <c r="B12" s="35"/>
      <c r="C12" s="31"/>
      <c r="D12" s="33"/>
      <c r="E12" s="33"/>
      <c r="F12" s="33"/>
      <c r="G12" s="67"/>
      <c r="H12" s="53"/>
      <c r="I12" s="67"/>
      <c r="J12" s="68"/>
      <c r="K12" s="163"/>
      <c r="L12" s="36"/>
      <c r="N12" s="119"/>
      <c r="O12" s="117"/>
      <c r="P12" s="117"/>
      <c r="Q12" s="117"/>
      <c r="R12" s="117"/>
    </row>
    <row r="13" spans="1:20" s="28" customFormat="1" ht="18.75" customHeight="1" thickBot="1" x14ac:dyDescent="0.25">
      <c r="A13" s="24"/>
      <c r="B13" s="35"/>
      <c r="C13" s="23" t="s">
        <v>7</v>
      </c>
      <c r="D13" s="52"/>
      <c r="E13" s="52"/>
      <c r="F13" s="78"/>
      <c r="G13" s="50" t="s">
        <v>2</v>
      </c>
      <c r="H13" s="50" t="s">
        <v>1</v>
      </c>
      <c r="I13" s="50" t="s">
        <v>53</v>
      </c>
      <c r="J13" s="50" t="s">
        <v>8</v>
      </c>
      <c r="K13" s="51" t="s">
        <v>0</v>
      </c>
      <c r="L13" s="37"/>
      <c r="M13" s="186"/>
      <c r="N13" s="187"/>
      <c r="O13" s="188"/>
      <c r="P13" s="188"/>
      <c r="Q13" s="189"/>
      <c r="R13" s="188"/>
      <c r="S13" s="186"/>
      <c r="T13" s="186"/>
    </row>
    <row r="14" spans="1:20" ht="18.75" customHeight="1" x14ac:dyDescent="0.2">
      <c r="B14" s="81">
        <v>3</v>
      </c>
      <c r="C14" s="160"/>
      <c r="D14" s="19"/>
      <c r="E14" s="19" t="s">
        <v>96</v>
      </c>
      <c r="F14" s="13"/>
      <c r="G14" s="6"/>
      <c r="H14" s="138">
        <v>0.5</v>
      </c>
      <c r="I14" s="7">
        <f>Formulas!I14</f>
        <v>0</v>
      </c>
      <c r="J14" s="161">
        <v>0</v>
      </c>
      <c r="K14" s="8">
        <f>Formulas!K14</f>
        <v>0</v>
      </c>
      <c r="L14" s="36"/>
      <c r="M14" s="181"/>
      <c r="N14" s="243"/>
      <c r="O14" s="231"/>
      <c r="P14" s="117"/>
      <c r="Q14" s="117"/>
      <c r="R14" s="117"/>
      <c r="S14" s="181"/>
      <c r="T14" s="181"/>
    </row>
    <row r="15" spans="1:20" ht="18.75" customHeight="1" x14ac:dyDescent="0.2">
      <c r="B15" s="81">
        <v>4</v>
      </c>
      <c r="C15" s="178"/>
      <c r="D15" s="2"/>
      <c r="E15" s="2" t="s">
        <v>94</v>
      </c>
      <c r="F15" s="3"/>
      <c r="G15" s="60"/>
      <c r="H15" s="139">
        <v>0.5</v>
      </c>
      <c r="I15" s="5">
        <f>Formulas!I15</f>
        <v>0</v>
      </c>
      <c r="J15" s="179">
        <f>Formulas!J15</f>
        <v>0</v>
      </c>
      <c r="K15" s="136">
        <f>Formulas!K15</f>
        <v>0</v>
      </c>
      <c r="L15" s="36"/>
      <c r="M15" s="181"/>
      <c r="N15" s="235"/>
      <c r="O15" s="234"/>
      <c r="P15" s="117"/>
      <c r="Q15" s="117"/>
      <c r="R15" s="117"/>
      <c r="S15" s="181"/>
      <c r="T15" s="181"/>
    </row>
    <row r="16" spans="1:20" s="28" customFormat="1" ht="18.75" customHeight="1" x14ac:dyDescent="0.2">
      <c r="A16" s="24"/>
      <c r="B16" s="81">
        <v>5</v>
      </c>
      <c r="C16" s="162"/>
      <c r="D16" s="2"/>
      <c r="E16" s="2" t="s">
        <v>3</v>
      </c>
      <c r="F16" s="3"/>
      <c r="G16" s="1"/>
      <c r="H16" s="139">
        <f>Formulas!H16</f>
        <v>0.85</v>
      </c>
      <c r="I16" s="5">
        <f>Formulas!I16</f>
        <v>0</v>
      </c>
      <c r="J16" s="4">
        <f>Formulas!J16</f>
        <v>0</v>
      </c>
      <c r="K16" s="136">
        <f>Formulas!K16</f>
        <v>0</v>
      </c>
      <c r="L16" s="37"/>
      <c r="M16" s="186"/>
      <c r="N16" s="236"/>
      <c r="O16" s="236"/>
      <c r="P16" s="188"/>
      <c r="Q16" s="188"/>
      <c r="R16" s="188"/>
      <c r="S16" s="186"/>
      <c r="T16" s="186"/>
    </row>
    <row r="17" spans="1:20" ht="18.75" customHeight="1" x14ac:dyDescent="0.2">
      <c r="B17" s="81">
        <v>6</v>
      </c>
      <c r="C17" s="21"/>
      <c r="D17" s="2"/>
      <c r="E17" s="2" t="s">
        <v>4</v>
      </c>
      <c r="F17" s="3"/>
      <c r="G17" s="1"/>
      <c r="H17" s="139">
        <v>0.75</v>
      </c>
      <c r="I17" s="5">
        <f>Formulas!I17</f>
        <v>0</v>
      </c>
      <c r="J17" s="4">
        <f>Formulas!J17</f>
        <v>0</v>
      </c>
      <c r="K17" s="136">
        <f>Formulas!K17</f>
        <v>0</v>
      </c>
      <c r="L17" s="36"/>
      <c r="M17" s="181"/>
      <c r="N17" s="236"/>
      <c r="O17" s="235"/>
      <c r="P17" s="117"/>
      <c r="Q17" s="117"/>
      <c r="R17" s="117"/>
      <c r="S17" s="181"/>
      <c r="T17" s="181"/>
    </row>
    <row r="18" spans="1:20" ht="18.75" customHeight="1" x14ac:dyDescent="0.2">
      <c r="B18" s="81">
        <v>7</v>
      </c>
      <c r="C18" s="21"/>
      <c r="D18" s="2"/>
      <c r="E18" s="2" t="s">
        <v>5</v>
      </c>
      <c r="F18" s="3"/>
      <c r="G18" s="1"/>
      <c r="H18" s="139">
        <v>0.75</v>
      </c>
      <c r="I18" s="5">
        <f>Formulas!I18</f>
        <v>0</v>
      </c>
      <c r="J18" s="4">
        <f>Formulas!J18</f>
        <v>2.7699999999999999E-2</v>
      </c>
      <c r="K18" s="136">
        <f>Formulas!K18</f>
        <v>0</v>
      </c>
      <c r="L18" s="36"/>
      <c r="M18" s="181"/>
      <c r="N18" s="236"/>
      <c r="O18" s="235"/>
      <c r="P18" s="117"/>
      <c r="Q18" s="117"/>
      <c r="R18" s="117"/>
      <c r="S18" s="181"/>
      <c r="T18" s="181"/>
    </row>
    <row r="19" spans="1:20" ht="18.75" customHeight="1" x14ac:dyDescent="0.2">
      <c r="B19" s="81">
        <v>8</v>
      </c>
      <c r="C19" s="21"/>
      <c r="D19" s="2"/>
      <c r="E19" s="2" t="s">
        <v>6</v>
      </c>
      <c r="F19" s="3"/>
      <c r="G19" s="1"/>
      <c r="H19" s="139">
        <v>0.75</v>
      </c>
      <c r="I19" s="5">
        <f>Formulas!I19</f>
        <v>0</v>
      </c>
      <c r="J19" s="4">
        <f>Formulas!J19</f>
        <v>3.27E-2</v>
      </c>
      <c r="K19" s="136">
        <f>Formulas!K19</f>
        <v>0</v>
      </c>
      <c r="L19" s="36"/>
      <c r="M19" s="181"/>
      <c r="N19" s="237"/>
      <c r="O19" s="235"/>
      <c r="P19" s="117"/>
      <c r="Q19" s="117"/>
      <c r="R19" s="117"/>
      <c r="S19" s="181"/>
      <c r="T19" s="181"/>
    </row>
    <row r="20" spans="1:20" ht="18.75" customHeight="1" thickBot="1" x14ac:dyDescent="0.25">
      <c r="B20" s="81">
        <v>9</v>
      </c>
      <c r="C20" s="21"/>
      <c r="D20" s="2"/>
      <c r="E20" s="210" t="s">
        <v>109</v>
      </c>
      <c r="F20" s="3"/>
      <c r="G20" s="60"/>
      <c r="H20" s="140">
        <v>0.75</v>
      </c>
      <c r="I20" s="65">
        <f>Formulas!I20</f>
        <v>0</v>
      </c>
      <c r="J20" s="22" t="str">
        <f>Formulas!J20</f>
        <v>3.5%; 3.75%</v>
      </c>
      <c r="K20" s="137">
        <f>Formulas!K20</f>
        <v>0</v>
      </c>
      <c r="L20" s="36"/>
      <c r="M20" s="181"/>
      <c r="N20" s="235"/>
      <c r="O20" s="235"/>
      <c r="P20" s="117"/>
      <c r="Q20" s="117"/>
      <c r="R20" s="117"/>
      <c r="S20" s="181"/>
      <c r="T20" s="181"/>
    </row>
    <row r="21" spans="1:20" ht="18.75" customHeight="1" thickBot="1" x14ac:dyDescent="0.25">
      <c r="B21" s="81"/>
      <c r="C21" s="17"/>
      <c r="D21" s="20"/>
      <c r="E21" s="209" t="s">
        <v>110</v>
      </c>
      <c r="F21" s="14"/>
      <c r="G21" s="244"/>
      <c r="H21" s="214"/>
      <c r="I21" s="211"/>
      <c r="J21" s="212"/>
      <c r="K21" s="213"/>
      <c r="L21" s="36"/>
      <c r="M21" s="181"/>
      <c r="N21" s="235"/>
      <c r="O21" s="235"/>
      <c r="P21" s="117"/>
      <c r="Q21" s="117"/>
      <c r="R21" s="117"/>
      <c r="S21" s="181"/>
      <c r="T21" s="181"/>
    </row>
    <row r="22" spans="1:20" ht="25" customHeight="1" thickBot="1" x14ac:dyDescent="0.25">
      <c r="B22" s="35"/>
      <c r="C22" s="26"/>
      <c r="D22" s="26"/>
      <c r="E22" s="26"/>
      <c r="F22" s="26"/>
      <c r="G22" s="224"/>
      <c r="H22" s="79"/>
      <c r="I22" s="224"/>
      <c r="J22" s="226"/>
      <c r="K22" s="224"/>
      <c r="L22" s="36"/>
      <c r="M22" s="182"/>
      <c r="N22" s="238"/>
      <c r="O22" s="233"/>
      <c r="P22" s="119"/>
      <c r="Q22" s="79"/>
      <c r="R22" s="117"/>
      <c r="S22" s="181"/>
      <c r="T22" s="181"/>
    </row>
    <row r="23" spans="1:20" ht="18.75" customHeight="1" thickBot="1" x14ac:dyDescent="0.25">
      <c r="B23" s="35"/>
      <c r="C23" s="216" t="s">
        <v>95</v>
      </c>
      <c r="D23" s="164"/>
      <c r="E23" s="164"/>
      <c r="F23" s="164"/>
      <c r="G23" s="166"/>
      <c r="H23" s="167"/>
      <c r="I23" s="166"/>
      <c r="J23" s="167"/>
      <c r="K23" s="168"/>
      <c r="L23" s="36"/>
      <c r="M23" s="182"/>
      <c r="N23" s="238"/>
      <c r="O23" s="239"/>
      <c r="P23" s="119"/>
      <c r="Q23" s="183"/>
      <c r="R23" s="117"/>
      <c r="S23" s="181"/>
      <c r="T23" s="181"/>
    </row>
    <row r="24" spans="1:20" ht="18.75" customHeight="1" thickBot="1" x14ac:dyDescent="0.25">
      <c r="B24" s="35"/>
      <c r="C24" s="23" t="s">
        <v>80</v>
      </c>
      <c r="D24" s="52"/>
      <c r="E24" s="52"/>
      <c r="F24" s="52"/>
      <c r="G24" s="169" t="s">
        <v>92</v>
      </c>
      <c r="H24" s="170"/>
      <c r="I24" s="171"/>
      <c r="J24" s="172"/>
      <c r="K24" s="173"/>
      <c r="L24" s="36"/>
      <c r="M24" s="182"/>
      <c r="N24" s="240"/>
      <c r="O24" s="239"/>
      <c r="P24" s="119"/>
      <c r="Q24" s="79"/>
      <c r="R24" s="117"/>
      <c r="S24" s="181"/>
      <c r="T24" s="181"/>
    </row>
    <row r="25" spans="1:20" ht="18.75" customHeight="1" thickBot="1" x14ac:dyDescent="0.25">
      <c r="B25" s="35"/>
      <c r="C25" s="23"/>
      <c r="D25" s="52" t="s">
        <v>81</v>
      </c>
      <c r="E25" s="52"/>
      <c r="F25" s="78"/>
      <c r="G25" s="50" t="s">
        <v>2</v>
      </c>
      <c r="H25" s="50" t="s">
        <v>1</v>
      </c>
      <c r="I25" s="50" t="s">
        <v>53</v>
      </c>
      <c r="J25" s="50" t="s">
        <v>8</v>
      </c>
      <c r="K25" s="51" t="s">
        <v>100</v>
      </c>
      <c r="L25" s="36"/>
      <c r="M25" s="182"/>
      <c r="N25" s="240"/>
      <c r="O25" s="239"/>
      <c r="P25" s="190"/>
      <c r="Q25" s="183"/>
      <c r="R25" s="117"/>
      <c r="S25" s="181"/>
      <c r="T25" s="181"/>
    </row>
    <row r="26" spans="1:20" ht="18.75" customHeight="1" thickBot="1" x14ac:dyDescent="0.25">
      <c r="A26" s="27"/>
      <c r="B26" s="81">
        <v>10</v>
      </c>
      <c r="C26" s="54"/>
      <c r="D26" s="55"/>
      <c r="E26" s="130" t="s">
        <v>102</v>
      </c>
      <c r="F26" s="195"/>
      <c r="G26" s="196"/>
      <c r="H26" s="197">
        <v>0.5</v>
      </c>
      <c r="I26" s="154">
        <f>Formulas!I26</f>
        <v>0</v>
      </c>
      <c r="J26" s="198">
        <f>Formulas!J26</f>
        <v>0</v>
      </c>
      <c r="K26" s="199">
        <f>Formulas!K26</f>
        <v>0</v>
      </c>
      <c r="L26" s="36"/>
      <c r="M26" s="181"/>
      <c r="N26" s="240"/>
      <c r="O26" s="235"/>
      <c r="P26" s="119"/>
      <c r="Q26" s="117"/>
      <c r="R26" s="117"/>
      <c r="S26" s="181"/>
      <c r="T26" s="181"/>
    </row>
    <row r="27" spans="1:20" ht="18.75" customHeight="1" x14ac:dyDescent="0.2">
      <c r="A27" s="27"/>
      <c r="B27" s="81">
        <v>11</v>
      </c>
      <c r="C27" s="54"/>
      <c r="D27" s="55"/>
      <c r="E27" s="130" t="s">
        <v>58</v>
      </c>
      <c r="F27" s="131"/>
      <c r="G27" s="82"/>
      <c r="H27" s="141" t="str">
        <f>Formulas!H27</f>
        <v/>
      </c>
      <c r="I27" s="83">
        <f>Formulas!I27</f>
        <v>0</v>
      </c>
      <c r="J27" s="84">
        <f>Formulas!J27</f>
        <v>0</v>
      </c>
      <c r="K27" s="85">
        <f>Formulas!K27</f>
        <v>0</v>
      </c>
      <c r="L27" s="36"/>
      <c r="M27" s="181"/>
      <c r="N27" s="240"/>
      <c r="O27" s="235"/>
      <c r="P27" s="119"/>
      <c r="Q27" s="117"/>
      <c r="R27" s="117"/>
      <c r="S27" s="181"/>
      <c r="T27" s="181"/>
    </row>
    <row r="28" spans="1:20" s="29" customFormat="1" ht="18.75" customHeight="1" x14ac:dyDescent="0.25">
      <c r="B28" s="81">
        <v>12</v>
      </c>
      <c r="C28" s="57"/>
      <c r="D28" s="58"/>
      <c r="E28" s="132" t="s">
        <v>57</v>
      </c>
      <c r="F28" s="133"/>
      <c r="G28" s="60"/>
      <c r="H28" s="139" t="str">
        <f>Formulas!H28</f>
        <v/>
      </c>
      <c r="I28" s="61">
        <f>Formulas!I28</f>
        <v>0</v>
      </c>
      <c r="J28" s="4">
        <f>Formulas!J28</f>
        <v>0</v>
      </c>
      <c r="K28" s="85">
        <f>Formulas!K28</f>
        <v>0</v>
      </c>
      <c r="L28" s="39"/>
      <c r="M28" s="184"/>
      <c r="N28" s="241"/>
      <c r="O28" s="241"/>
      <c r="P28" s="191"/>
      <c r="Q28" s="180"/>
      <c r="R28" s="180"/>
      <c r="S28" s="184"/>
      <c r="T28" s="184"/>
    </row>
    <row r="29" spans="1:20" s="29" customFormat="1" ht="18.75" customHeight="1" thickBot="1" x14ac:dyDescent="0.3">
      <c r="B29" s="81">
        <v>13</v>
      </c>
      <c r="C29" s="62"/>
      <c r="D29" s="63"/>
      <c r="E29" s="134" t="s">
        <v>57</v>
      </c>
      <c r="F29" s="135"/>
      <c r="G29" s="66"/>
      <c r="H29" s="140" t="str">
        <f>Formulas!H29</f>
        <v/>
      </c>
      <c r="I29" s="65">
        <f>Formulas!I29</f>
        <v>0</v>
      </c>
      <c r="J29" s="16">
        <f>Formulas!J29</f>
        <v>0</v>
      </c>
      <c r="K29" s="85">
        <f>Formulas!K29</f>
        <v>0</v>
      </c>
      <c r="L29" s="39"/>
      <c r="M29" s="184"/>
      <c r="N29" s="241"/>
      <c r="O29" s="242"/>
      <c r="P29" s="191"/>
      <c r="Q29" s="180"/>
      <c r="R29" s="180"/>
      <c r="S29" s="184"/>
      <c r="T29" s="184"/>
    </row>
    <row r="30" spans="1:20" s="29" customFormat="1" ht="18.75" customHeight="1" thickBot="1" x14ac:dyDescent="0.3">
      <c r="B30" s="38"/>
      <c r="C30" s="149" t="s">
        <v>103</v>
      </c>
      <c r="D30" s="150"/>
      <c r="E30" s="151"/>
      <c r="F30" s="152"/>
      <c r="G30" s="76">
        <f>Formulas!G30</f>
        <v>0</v>
      </c>
      <c r="H30" s="153"/>
      <c r="I30" s="154">
        <f>Formulas!I30</f>
        <v>0</v>
      </c>
      <c r="J30" s="155"/>
      <c r="K30" s="156">
        <f>Formulas!K30</f>
        <v>0</v>
      </c>
      <c r="L30" s="39"/>
      <c r="M30" s="184"/>
      <c r="N30" s="232"/>
      <c r="O30" s="242"/>
      <c r="P30" s="180"/>
      <c r="Q30" s="180"/>
      <c r="R30" s="180"/>
      <c r="S30" s="184"/>
      <c r="T30" s="184"/>
    </row>
    <row r="31" spans="1:20" ht="9" customHeight="1" thickBot="1" x14ac:dyDescent="0.25">
      <c r="B31" s="35"/>
      <c r="C31" s="35"/>
      <c r="D31" s="86"/>
      <c r="E31" s="86"/>
      <c r="F31" s="86"/>
      <c r="G31" s="26"/>
      <c r="H31" s="26"/>
      <c r="I31" s="157"/>
      <c r="J31" s="26"/>
      <c r="K31" s="26"/>
      <c r="L31" s="36"/>
      <c r="M31" s="182"/>
      <c r="N31" s="235"/>
      <c r="O31" s="235"/>
      <c r="P31" s="117"/>
      <c r="Q31" s="79"/>
      <c r="R31" s="117"/>
      <c r="S31" s="181"/>
      <c r="T31" s="181"/>
    </row>
    <row r="32" spans="1:20" s="29" customFormat="1" ht="18.75" customHeight="1" thickBot="1" x14ac:dyDescent="0.3">
      <c r="B32" s="38"/>
      <c r="C32" s="174" t="s">
        <v>78</v>
      </c>
      <c r="D32" s="175" t="s">
        <v>79</v>
      </c>
      <c r="E32" s="175"/>
      <c r="F32" s="176"/>
      <c r="G32" s="50" t="s">
        <v>52</v>
      </c>
      <c r="H32" s="50" t="s">
        <v>1</v>
      </c>
      <c r="I32" s="51" t="s">
        <v>53</v>
      </c>
      <c r="J32" s="148"/>
      <c r="K32" s="30"/>
      <c r="L32" s="39"/>
      <c r="M32" s="184"/>
      <c r="N32" s="242"/>
      <c r="O32" s="242"/>
      <c r="P32" s="180"/>
      <c r="Q32" s="180"/>
      <c r="R32" s="180"/>
      <c r="S32" s="184"/>
      <c r="T32" s="184"/>
    </row>
    <row r="33" spans="1:20" ht="18.75" customHeight="1" x14ac:dyDescent="0.2">
      <c r="A33" s="27"/>
      <c r="B33" s="81">
        <v>14</v>
      </c>
      <c r="C33" s="54"/>
      <c r="D33" s="55"/>
      <c r="E33" s="55" t="s">
        <v>54</v>
      </c>
      <c r="F33" s="126"/>
      <c r="G33" s="82">
        <v>0</v>
      </c>
      <c r="H33" s="141">
        <v>0.75</v>
      </c>
      <c r="I33" s="123">
        <f>Formulas!I33</f>
        <v>0</v>
      </c>
      <c r="J33" s="148"/>
      <c r="K33" s="30"/>
      <c r="L33" s="36"/>
      <c r="M33" s="181"/>
      <c r="N33" s="239"/>
      <c r="O33" s="235"/>
      <c r="P33" s="119"/>
      <c r="Q33" s="117"/>
      <c r="R33" s="117"/>
      <c r="S33" s="181"/>
      <c r="T33" s="181"/>
    </row>
    <row r="34" spans="1:20" s="29" customFormat="1" ht="18.75" customHeight="1" x14ac:dyDescent="0.25">
      <c r="B34" s="81">
        <v>15</v>
      </c>
      <c r="C34" s="57"/>
      <c r="D34" s="58"/>
      <c r="E34" s="58" t="s">
        <v>55</v>
      </c>
      <c r="F34" s="59"/>
      <c r="G34" s="60"/>
      <c r="H34" s="139">
        <v>0.75</v>
      </c>
      <c r="I34" s="124">
        <f>Formulas!I34</f>
        <v>0</v>
      </c>
      <c r="J34" s="148"/>
      <c r="K34" s="30"/>
      <c r="L34" s="39"/>
      <c r="M34" s="184"/>
      <c r="N34" s="242"/>
      <c r="O34" s="242"/>
      <c r="P34" s="191"/>
      <c r="Q34" s="180"/>
      <c r="R34" s="180"/>
      <c r="S34" s="184"/>
      <c r="T34" s="184"/>
    </row>
    <row r="35" spans="1:20" s="29" customFormat="1" ht="18.75" customHeight="1" thickBot="1" x14ac:dyDescent="0.3">
      <c r="B35" s="81">
        <v>16</v>
      </c>
      <c r="C35" s="62"/>
      <c r="D35" s="63"/>
      <c r="E35" s="63" t="s">
        <v>56</v>
      </c>
      <c r="F35" s="64"/>
      <c r="G35" s="66"/>
      <c r="H35" s="140">
        <v>0.5</v>
      </c>
      <c r="I35" s="125">
        <f>Formulas!I35</f>
        <v>0</v>
      </c>
      <c r="J35" s="148"/>
      <c r="K35" s="30"/>
      <c r="L35" s="39"/>
      <c r="M35" s="184"/>
      <c r="N35" s="242"/>
      <c r="O35" s="242"/>
      <c r="P35" s="191"/>
      <c r="Q35" s="180"/>
      <c r="R35" s="180"/>
      <c r="S35" s="184"/>
      <c r="T35" s="184"/>
    </row>
    <row r="36" spans="1:20" s="29" customFormat="1" ht="6" customHeight="1" x14ac:dyDescent="0.25">
      <c r="B36" s="38"/>
      <c r="C36" s="142"/>
      <c r="D36" s="143"/>
      <c r="E36" s="144"/>
      <c r="F36" s="144"/>
      <c r="G36" s="145"/>
      <c r="H36" s="146"/>
      <c r="I36" s="147"/>
      <c r="J36" s="87"/>
      <c r="K36" s="30"/>
      <c r="L36" s="39"/>
      <c r="M36" s="184"/>
      <c r="N36" s="242"/>
      <c r="O36" s="242"/>
      <c r="P36" s="180"/>
      <c r="Q36" s="180"/>
      <c r="R36" s="180"/>
      <c r="S36" s="184"/>
      <c r="T36" s="184"/>
    </row>
    <row r="37" spans="1:20" ht="24.75" customHeight="1" thickBot="1" x14ac:dyDescent="0.25">
      <c r="B37" s="35"/>
      <c r="C37" s="70" t="s">
        <v>12</v>
      </c>
      <c r="D37" s="86"/>
      <c r="E37" s="86"/>
      <c r="F37" s="86"/>
      <c r="G37" s="26"/>
      <c r="H37" s="26"/>
      <c r="I37" s="26"/>
      <c r="J37" s="26"/>
      <c r="L37" s="36"/>
      <c r="M37" s="182"/>
      <c r="N37" s="238"/>
      <c r="O37" s="235"/>
      <c r="P37" s="117"/>
      <c r="Q37" s="117"/>
      <c r="R37" s="117"/>
      <c r="S37" s="181"/>
      <c r="T37" s="181"/>
    </row>
    <row r="38" spans="1:20" ht="18.75" customHeight="1" thickBot="1" x14ac:dyDescent="0.25">
      <c r="B38" s="35"/>
      <c r="C38" s="26"/>
      <c r="D38" s="86"/>
      <c r="E38" s="86"/>
      <c r="F38" s="86"/>
      <c r="G38" s="26"/>
      <c r="H38" s="26"/>
      <c r="I38" s="26"/>
      <c r="J38" s="26"/>
      <c r="K38" s="89" t="s">
        <v>101</v>
      </c>
      <c r="L38" s="36"/>
      <c r="M38" s="182"/>
      <c r="N38" s="238"/>
      <c r="O38" s="235"/>
      <c r="P38" s="117"/>
      <c r="Q38" s="117"/>
      <c r="R38" s="117"/>
      <c r="S38" s="181"/>
      <c r="T38" s="181"/>
    </row>
    <row r="39" spans="1:20" ht="18.75" customHeight="1" thickBot="1" x14ac:dyDescent="0.25">
      <c r="B39" s="81"/>
      <c r="C39" s="217" t="s">
        <v>78</v>
      </c>
      <c r="D39" s="228" t="s">
        <v>82</v>
      </c>
      <c r="E39" s="177"/>
      <c r="F39" s="218" t="s">
        <v>53</v>
      </c>
      <c r="G39" s="26"/>
      <c r="H39" s="88"/>
      <c r="I39" s="12"/>
      <c r="J39" s="90" t="s">
        <v>97</v>
      </c>
      <c r="K39" s="158">
        <f>Formulas!K39</f>
        <v>0</v>
      </c>
      <c r="L39" s="36"/>
      <c r="M39" s="183"/>
      <c r="N39" s="235"/>
      <c r="O39" s="235"/>
      <c r="P39" s="117"/>
      <c r="Q39" s="117"/>
      <c r="R39" s="117"/>
      <c r="S39" s="181"/>
      <c r="T39" s="181"/>
    </row>
    <row r="40" spans="1:20" ht="18.75" customHeight="1" thickBot="1" x14ac:dyDescent="0.25">
      <c r="B40" s="81">
        <v>17</v>
      </c>
      <c r="C40" s="54"/>
      <c r="D40" s="55"/>
      <c r="E40" s="56" t="s">
        <v>83</v>
      </c>
      <c r="F40" s="127">
        <v>0</v>
      </c>
      <c r="G40" s="26"/>
      <c r="H40" s="88"/>
      <c r="I40" s="12"/>
      <c r="J40" s="90" t="s">
        <v>99</v>
      </c>
      <c r="K40" s="159">
        <f>Formulas!K40</f>
        <v>0</v>
      </c>
      <c r="L40" s="36"/>
      <c r="M40" s="183"/>
      <c r="N40" s="235"/>
      <c r="O40" s="235"/>
      <c r="P40" s="117"/>
      <c r="Q40" s="117"/>
      <c r="R40" s="117"/>
      <c r="S40" s="181"/>
      <c r="T40" s="181"/>
    </row>
    <row r="41" spans="1:20" ht="18.75" customHeight="1" thickBot="1" x14ac:dyDescent="0.25">
      <c r="B41" s="81">
        <v>18</v>
      </c>
      <c r="C41" s="62"/>
      <c r="D41" s="63"/>
      <c r="E41" s="64" t="s">
        <v>84</v>
      </c>
      <c r="F41" s="128"/>
      <c r="G41" s="26"/>
      <c r="H41" s="72"/>
      <c r="I41" s="80"/>
      <c r="J41" s="91" t="s">
        <v>98</v>
      </c>
      <c r="K41" s="194">
        <f>Formulas!K41</f>
        <v>0</v>
      </c>
      <c r="L41" s="36"/>
      <c r="M41" s="183"/>
      <c r="N41" s="231"/>
      <c r="O41" s="231"/>
      <c r="P41" s="117"/>
      <c r="Q41" s="117"/>
      <c r="R41" s="117"/>
      <c r="S41" s="181"/>
      <c r="T41" s="181"/>
    </row>
    <row r="42" spans="1:20" ht="12" customHeight="1" x14ac:dyDescent="0.2">
      <c r="B42" s="35"/>
      <c r="C42" s="26"/>
      <c r="D42" s="26"/>
      <c r="E42" s="26"/>
      <c r="F42" s="26"/>
      <c r="G42" s="26"/>
      <c r="H42" s="26"/>
      <c r="I42" s="26"/>
      <c r="J42" s="26"/>
      <c r="K42" s="26"/>
      <c r="L42" s="36"/>
      <c r="M42" s="183"/>
      <c r="N42" s="117"/>
      <c r="O42" s="117"/>
      <c r="P42" s="117"/>
      <c r="Q42" s="117"/>
      <c r="R42" s="117"/>
      <c r="S42" s="181"/>
      <c r="T42" s="181"/>
    </row>
    <row r="43" spans="1:20" s="43" customFormat="1" ht="22.5" customHeight="1" x14ac:dyDescent="0.2">
      <c r="B43" s="44"/>
      <c r="C43" s="70"/>
      <c r="D43" s="225" t="str">
        <f>Formulas!D43</f>
        <v/>
      </c>
      <c r="E43" s="70"/>
      <c r="F43" s="70"/>
      <c r="G43" s="70"/>
      <c r="H43" s="70"/>
      <c r="I43" s="70"/>
      <c r="J43" s="71"/>
      <c r="K43" s="71"/>
      <c r="L43" s="49"/>
      <c r="M43" s="185"/>
      <c r="N43" s="192"/>
      <c r="O43" s="192"/>
      <c r="P43" s="193"/>
      <c r="Q43" s="192"/>
      <c r="R43" s="192"/>
      <c r="S43" s="185"/>
      <c r="T43" s="185"/>
    </row>
    <row r="44" spans="1:20" ht="12" customHeight="1" x14ac:dyDescent="0.2">
      <c r="B44" s="35"/>
      <c r="C44" s="26"/>
      <c r="D44" s="26"/>
      <c r="E44" s="26"/>
      <c r="F44" s="26"/>
      <c r="G44" s="26"/>
      <c r="H44" s="26"/>
      <c r="I44" s="26"/>
      <c r="J44" s="26"/>
      <c r="K44" s="26"/>
      <c r="L44" s="36"/>
      <c r="M44" s="181"/>
      <c r="N44" s="117"/>
      <c r="O44" s="117"/>
      <c r="P44" s="117"/>
      <c r="Q44" s="117"/>
      <c r="R44" s="117"/>
      <c r="S44" s="181"/>
      <c r="T44" s="181"/>
    </row>
    <row r="45" spans="1:20" x14ac:dyDescent="0.2">
      <c r="B45" s="35"/>
      <c r="C45" s="24"/>
      <c r="D45" s="77" t="s">
        <v>10</v>
      </c>
      <c r="E45" s="26" t="s">
        <v>50</v>
      </c>
      <c r="F45" s="26"/>
      <c r="G45" s="26"/>
      <c r="H45" s="26"/>
      <c r="I45" s="26"/>
      <c r="J45" s="26"/>
      <c r="K45" s="26"/>
      <c r="L45" s="36"/>
      <c r="M45" s="181"/>
      <c r="N45" s="117"/>
      <c r="O45" s="117"/>
      <c r="P45" s="117"/>
      <c r="Q45" s="117"/>
      <c r="R45" s="117"/>
      <c r="S45" s="181"/>
      <c r="T45" s="181"/>
    </row>
    <row r="46" spans="1:20" x14ac:dyDescent="0.2">
      <c r="B46" s="35"/>
      <c r="C46" s="24"/>
      <c r="E46" s="26" t="s">
        <v>24</v>
      </c>
      <c r="F46" s="26"/>
      <c r="G46" s="26"/>
      <c r="H46" s="26"/>
      <c r="I46" s="26"/>
      <c r="J46" s="26"/>
      <c r="K46" s="26"/>
      <c r="L46" s="36"/>
      <c r="M46" s="181"/>
      <c r="N46" s="117"/>
      <c r="O46" s="117"/>
      <c r="P46" s="117"/>
      <c r="Q46" s="117"/>
      <c r="R46" s="117"/>
      <c r="S46" s="181"/>
      <c r="T46" s="181"/>
    </row>
    <row r="47" spans="1:20" x14ac:dyDescent="0.2">
      <c r="B47" s="35"/>
      <c r="E47" s="26" t="s">
        <v>51</v>
      </c>
      <c r="F47" s="26"/>
      <c r="G47" s="26"/>
      <c r="H47" s="26"/>
      <c r="I47" s="26"/>
      <c r="J47" s="26"/>
      <c r="K47" s="26"/>
      <c r="L47" s="36"/>
      <c r="M47" s="181"/>
      <c r="N47" s="117"/>
      <c r="O47" s="117"/>
      <c r="P47" s="117"/>
      <c r="Q47" s="117"/>
      <c r="R47" s="117"/>
      <c r="S47" s="181"/>
      <c r="T47" s="181"/>
    </row>
    <row r="48" spans="1:20" ht="10" customHeight="1" thickBot="1" x14ac:dyDescent="0.25">
      <c r="B48" s="40"/>
      <c r="C48" s="41"/>
      <c r="D48" s="41"/>
      <c r="E48" s="41"/>
      <c r="F48" s="41"/>
      <c r="G48" s="41"/>
      <c r="H48" s="41"/>
      <c r="I48" s="41"/>
      <c r="J48" s="41"/>
      <c r="K48" s="41"/>
      <c r="L48" s="42"/>
      <c r="M48" s="181"/>
      <c r="N48" s="117"/>
      <c r="O48" s="117"/>
      <c r="P48" s="117"/>
      <c r="Q48" s="117"/>
      <c r="R48" s="117"/>
      <c r="S48" s="181"/>
      <c r="T48" s="181"/>
    </row>
    <row r="49" spans="2:12" ht="6" customHeight="1" x14ac:dyDescent="0.2">
      <c r="B49" s="35"/>
      <c r="C49" s="26"/>
      <c r="D49" s="26"/>
      <c r="E49" s="26"/>
      <c r="F49" s="26"/>
      <c r="G49" s="26"/>
      <c r="H49" s="26"/>
      <c r="I49" s="26"/>
      <c r="J49" s="26"/>
      <c r="K49" s="26"/>
      <c r="L49" s="36"/>
    </row>
    <row r="50" spans="2:12" ht="22.5" customHeight="1" x14ac:dyDescent="0.2">
      <c r="B50" s="35"/>
      <c r="C50" s="69" t="s">
        <v>23</v>
      </c>
      <c r="D50" s="26"/>
      <c r="E50" s="26"/>
      <c r="F50" s="26"/>
      <c r="G50" s="26"/>
      <c r="H50" s="26"/>
      <c r="I50" s="26"/>
      <c r="J50" s="26"/>
      <c r="K50" s="26"/>
      <c r="L50" s="36"/>
    </row>
    <row r="51" spans="2:12" ht="22.5" customHeight="1" x14ac:dyDescent="0.2">
      <c r="B51" s="35"/>
      <c r="C51" s="26" t="s">
        <v>13</v>
      </c>
      <c r="D51" s="26"/>
      <c r="E51" s="26"/>
      <c r="F51" s="26"/>
      <c r="G51" s="26"/>
      <c r="H51" s="26"/>
      <c r="I51" s="26"/>
      <c r="J51" s="26"/>
      <c r="K51" s="26"/>
      <c r="L51" s="36"/>
    </row>
    <row r="52" spans="2:12" ht="62.25" customHeight="1" x14ac:dyDescent="0.2">
      <c r="B52" s="35"/>
      <c r="C52" s="24"/>
      <c r="D52" s="24" t="s">
        <v>14</v>
      </c>
      <c r="E52" s="245" t="s">
        <v>15</v>
      </c>
      <c r="F52" s="245"/>
      <c r="G52" s="246"/>
      <c r="H52" s="246"/>
      <c r="I52" s="246"/>
      <c r="J52" s="246"/>
      <c r="K52" s="246"/>
      <c r="L52" s="36"/>
    </row>
    <row r="53" spans="2:12" ht="83.25" customHeight="1" x14ac:dyDescent="0.2">
      <c r="B53" s="35"/>
      <c r="C53" s="26"/>
      <c r="D53" s="24" t="s">
        <v>16</v>
      </c>
      <c r="E53" s="245" t="s">
        <v>25</v>
      </c>
      <c r="F53" s="245"/>
      <c r="G53" s="246"/>
      <c r="H53" s="246"/>
      <c r="I53" s="246"/>
      <c r="J53" s="246"/>
      <c r="K53" s="246"/>
      <c r="L53" s="36"/>
    </row>
    <row r="54" spans="2:12" ht="42" customHeight="1" x14ac:dyDescent="0.2">
      <c r="B54" s="35"/>
      <c r="C54" s="26"/>
      <c r="D54" s="26" t="s">
        <v>18</v>
      </c>
      <c r="E54" s="245" t="s">
        <v>17</v>
      </c>
      <c r="F54" s="245"/>
      <c r="G54" s="246"/>
      <c r="H54" s="246"/>
      <c r="I54" s="246"/>
      <c r="J54" s="246"/>
      <c r="K54" s="246"/>
      <c r="L54" s="36"/>
    </row>
    <row r="55" spans="2:12" ht="60" customHeight="1" x14ac:dyDescent="0.2">
      <c r="B55" s="35"/>
      <c r="C55" s="26"/>
      <c r="D55" s="26" t="s">
        <v>20</v>
      </c>
      <c r="E55" s="245" t="s">
        <v>19</v>
      </c>
      <c r="F55" s="245"/>
      <c r="G55" s="246"/>
      <c r="H55" s="246"/>
      <c r="I55" s="246"/>
      <c r="J55" s="246"/>
      <c r="K55" s="246"/>
      <c r="L55" s="36"/>
    </row>
    <row r="56" spans="2:12" ht="40.5" customHeight="1" x14ac:dyDescent="0.2">
      <c r="B56" s="35"/>
      <c r="C56" s="26"/>
      <c r="D56" s="26" t="s">
        <v>22</v>
      </c>
      <c r="E56" s="245" t="s">
        <v>21</v>
      </c>
      <c r="F56" s="245"/>
      <c r="G56" s="246"/>
      <c r="H56" s="246"/>
      <c r="I56" s="246"/>
      <c r="J56" s="246"/>
      <c r="K56" s="246"/>
      <c r="L56" s="36"/>
    </row>
    <row r="57" spans="2:12" ht="12" customHeight="1" x14ac:dyDescent="0.2">
      <c r="B57" s="35"/>
      <c r="C57" s="26"/>
      <c r="D57" s="26"/>
      <c r="E57" s="200"/>
      <c r="F57" s="200"/>
      <c r="G57" s="208"/>
      <c r="H57" s="208"/>
      <c r="I57" s="208"/>
      <c r="J57" s="208"/>
      <c r="K57" s="208"/>
      <c r="L57" s="36"/>
    </row>
    <row r="58" spans="2:12" ht="18.75" customHeight="1" x14ac:dyDescent="0.2">
      <c r="B58" s="35"/>
      <c r="C58" s="86" t="s">
        <v>107</v>
      </c>
      <c r="D58" s="26"/>
      <c r="E58" s="200"/>
      <c r="F58" s="200"/>
      <c r="G58" s="208"/>
      <c r="H58" s="208"/>
      <c r="I58" s="208"/>
      <c r="J58" s="208"/>
      <c r="K58" s="208"/>
      <c r="L58" s="36"/>
    </row>
    <row r="59" spans="2:12" ht="18.75" customHeight="1" x14ac:dyDescent="0.2">
      <c r="B59" s="35"/>
      <c r="C59" s="24"/>
      <c r="D59" s="24"/>
      <c r="E59" s="227" t="s">
        <v>106</v>
      </c>
      <c r="F59" s="200"/>
      <c r="G59" s="208"/>
      <c r="H59" s="208"/>
      <c r="I59" s="208"/>
      <c r="J59" s="208"/>
      <c r="K59" s="208"/>
      <c r="L59" s="36"/>
    </row>
    <row r="60" spans="2:12" ht="12" customHeight="1" x14ac:dyDescent="0.2">
      <c r="B60" s="35"/>
      <c r="C60" s="26"/>
      <c r="D60" s="26"/>
      <c r="E60" s="200"/>
      <c r="F60" s="200"/>
      <c r="G60" s="208"/>
      <c r="H60" s="208"/>
      <c r="I60" s="208"/>
      <c r="J60" s="208"/>
      <c r="K60" s="208"/>
      <c r="L60" s="36"/>
    </row>
    <row r="61" spans="2:12" ht="18.75" customHeight="1" thickBot="1" x14ac:dyDescent="0.25">
      <c r="B61" s="222" t="s">
        <v>86</v>
      </c>
      <c r="C61" s="41"/>
      <c r="D61" s="41"/>
      <c r="E61" s="41"/>
      <c r="F61" s="229"/>
      <c r="G61" s="129"/>
      <c r="H61" s="41"/>
      <c r="I61" s="41"/>
      <c r="J61" s="41"/>
      <c r="K61" s="41"/>
      <c r="L61" s="223" t="s">
        <v>112</v>
      </c>
    </row>
  </sheetData>
  <sheetProtection sheet="1" objects="1" scenarios="1"/>
  <mergeCells count="5">
    <mergeCell ref="E56:K56"/>
    <mergeCell ref="E52:K52"/>
    <mergeCell ref="E53:K53"/>
    <mergeCell ref="E54:K54"/>
    <mergeCell ref="E55:K55"/>
  </mergeCells>
  <dataValidations count="18">
    <dataValidation type="decimal" operator="lessThanOrEqual" allowBlank="1" showErrorMessage="1" errorTitle="7(a) Fee Calculator" error="You Have Entered a Loan Amount in Excess of the Maximum Small Loan Amount of $350,000._x000a__x000a_Loans in Excess of $350,000 Must be Entered on the Row Below._x000a_" sqref="G10" xr:uid="{7FFC30CE-D4D6-4D5E-9659-C388AC0773B4}">
      <formula1>350000</formula1>
    </dataValidation>
    <dataValidation type="decimal" operator="greaterThanOrEqual" allowBlank="1" showErrorMessage="1" errorTitle="7(a) Loan Fee Calculator" error="You Have Entered a Loan Amount of $350,00, or Less._x000a__x000a_Small Loans Should be Entred on the Row Above._x000a_" sqref="G11" xr:uid="{1469313C-4840-468C-A8E9-1A6A8066AF15}">
      <formula1>350000</formula1>
    </dataValidation>
    <dataValidation type="decimal" operator="lessThanOrEqual" allowBlank="1" showErrorMessage="1" errorTitle="7(a) Loan Fee Calculator" error="You Have Entered a Loan Amount of More than $150,000._x000a__x000a_Please Change the Amount or Enter it on a Different Row._x000a_" sqref="G16" xr:uid="{BCB4A2F7-2529-438D-988E-ED1868831D4A}">
      <formula1>150000</formula1>
    </dataValidation>
    <dataValidation type="decimal" allowBlank="1" showErrorMessage="1" errorTitle="7(a) Loan Fee Calculator" error="You Have Entered a Loan Amount of less than $150,001 or more than $350,000._x000a__x000a_Please Change the Loan Amount or Enter it on a Different Row._x000a_" sqref="G17" xr:uid="{ADCFB87A-2472-4C60-AF44-637D2ADE6C6C}">
      <formula1>150001</formula1>
      <formula2>350000</formula2>
    </dataValidation>
    <dataValidation type="decimal" allowBlank="1" showErrorMessage="1" errorTitle="7(a) Loan Fee Calculator" error="_x000a__x000a_You Have Entered a Loan Amount of less than $350,001 or more than $700,000._x000a__x000a_Please Change the Loan Amount or Enter it on a Different Row._x000a__x000a_" sqref="G18" xr:uid="{A52FB491-9801-47FE-BE65-27D9509BCE89}">
      <formula1>350001</formula1>
      <formula2>700000</formula2>
    </dataValidation>
    <dataValidation type="decimal" allowBlank="1" showErrorMessage="1" errorTitle="7(a) Loan Fee Calculator" error="You Have Entered a Loan Amount of less than $700,001 or more than $1,000,000._x000a__x000a_Please Change the Loan Amount or Enter it on a Different Row._x000a_" sqref="G19" xr:uid="{8EDCF24F-0778-4E21-9ABC-32CB69AD1B23}">
      <formula1>700001</formula1>
      <formula2>1000000</formula2>
    </dataValidation>
    <dataValidation type="decimal" allowBlank="1" showErrorMessage="1" errorTitle="7(a) Loan Fee Calculator" error="You Have Entered a Loan Amount of less than $1,000,001 or more than $5,000,000._x000a__x000a_Please Change the Loan Amount or Enter it on a Different Row._x000a_" sqref="G20:G21 G36" xr:uid="{12157842-D5DE-4E35-A46A-731D56171976}">
      <formula1>1000001</formula1>
      <formula2>5000000</formula2>
    </dataValidation>
    <dataValidation type="custom" operator="lessThanOrEqual" allowBlank="1" showErrorMessage="1" errorTitle="7(a) Fee Calculator" error="The total of all Express Loans approved within the last 90 days cannot exceed $500,000._x000a__x000a_Please reduce the Loan Amount to Not More than $500,000 or enter it as a Regular loan._x000a_" sqref="G14" xr:uid="{F2D8528F-3B29-40C2-BC24-8AFE9F21F9E4}">
      <formula1>N14&lt;=500000</formula1>
    </dataValidation>
    <dataValidation allowBlank="1" showErrorMessage="1" sqref="H33:H36 G24 H30 H10:H11 H17:H24 H14:H15 G30" xr:uid="{6C8430A3-2263-4105-A3A3-8D6C99195F23}"/>
    <dataValidation allowBlank="1" showInputMessage="1" showErrorMessage="1" prompt="Note: If You Enter Anything in this Field, this Percentage will No Longer Automatically be Calculated." sqref="H33:H35" xr:uid="{91BFA6F5-5120-4E87-994F-B8019361E135}"/>
    <dataValidation type="decimal" operator="lessThanOrEqual" allowBlank="1" showErrorMessage="1" errorTitle="7(a) Loan Fee Calculator" error="You Cannot Enter a Loan Amount of More than $5,000,000." sqref="G33:G35 F40:F41 G27:G29" xr:uid="{64FDA72D-C4D0-4C86-BEA9-2730C0D78691}">
      <formula1>5000000</formula1>
    </dataValidation>
    <dataValidation allowBlank="1" showErrorMessage="1" errorTitle="7(a) Loan Fee Calculator" sqref="F40:F41 G33:G35 G27:G29" xr:uid="{4B0211FA-D1BD-468E-80AB-DDD7318B6742}"/>
    <dataValidation allowBlank="1" showInputMessage="1" showErrorMessage="1" prompt="This is a calculated value. If you enter anything here, the Gty % will no longer be calculated for the loan on this row." sqref="H16 H27:H29" xr:uid="{C480B0B7-4710-45ED-8836-5D4E2D746E09}"/>
    <dataValidation allowBlank="1" showInputMessage="1" showErrorMessage="1" prompt="This is a calculated value. If you enter anything here, the Guaranty Fee will no longer be calculated for the loan on this row." sqref="K27:K29" xr:uid="{9D3F730C-2274-4362-88E0-5ED0FD115457}"/>
    <dataValidation allowBlank="1" showInputMessage="1" showErrorMessage="1" prompt="This is a calculated value. If you enter anything here, the Gty Amount will no longer be calculated for the loan on this row." sqref="I33:I35" xr:uid="{4BB9AA19-D838-4B20-BF75-6C055F98A448}"/>
    <dataValidation allowBlank="1" showInputMessage="1" showErrorMessage="1" prompt="This a calculated field. If you enter anything here, the Gty % will not be calculated for the loan on this row." sqref="H27:H29" xr:uid="{099E07B2-597E-4F14-AA91-522A045BB625}"/>
    <dataValidation type="custom" allowBlank="1" showInputMessage="1" showErrorMessage="1" error="The total of all Express Loans approved within the last 90 days cannot exceed $500,000._x000a__x000a_Please reduce the Loan Amount to Not More than $500,000 or enter it as a Regular loan._x000a_" sqref="G26" xr:uid="{67B8B4C1-762A-433B-BC7A-7C6F55BEAFBE}">
      <formula1>N14&lt;=500000</formula1>
    </dataValidation>
    <dataValidation type="custom" allowBlank="1" showInputMessage="1" showErrorMessage="1" error="The total of all Express Loans approved within the last 90 days cannot exceed $500,000._x000a__x000a_Please reduce the Loan Amount to Not More than $500,000 or enter it as a Regular loan._x000a_" sqref="G15" xr:uid="{4FA58C31-8711-487C-9E1E-E9470B06570B}">
      <formula1>N14&lt;=500000</formula1>
    </dataValidation>
  </dataValidations>
  <hyperlinks>
    <hyperlink ref="E59" r:id="rId1" tooltip="SBA Information Notice 5000-818641" xr:uid="{E5CB6C38-4B95-4A9C-B593-18895E4F389C}"/>
  </hyperlinks>
  <printOptions horizontalCentered="1" verticalCentered="1"/>
  <pageMargins left="0.25" right="0.25" top="0.25" bottom="0.25" header="0.25" footer="0.25"/>
  <pageSetup scale="64"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73EC-23F7-4A32-8974-1AB78085631B}">
  <sheetPr codeName="Sheet3">
    <pageSetUpPr fitToPage="1"/>
  </sheetPr>
  <dimension ref="A1:T61"/>
  <sheetViews>
    <sheetView showGridLines="0" showRowColHeaders="0" zoomScale="90" zoomScaleNormal="90" workbookViewId="0">
      <selection activeCell="I17" sqref="I17"/>
    </sheetView>
  </sheetViews>
  <sheetFormatPr baseColWidth="10" defaultColWidth="11" defaultRowHeight="19" x14ac:dyDescent="0.2"/>
  <cols>
    <col min="1" max="2" width="2.6640625" style="24" customWidth="1"/>
    <col min="3" max="4" width="2.6640625" style="28" customWidth="1"/>
    <col min="5" max="5" width="31.6640625" style="28" customWidth="1"/>
    <col min="6" max="6" width="21.6640625" style="28" customWidth="1"/>
    <col min="7" max="7" width="18.6640625" style="28" customWidth="1"/>
    <col min="8" max="8" width="14.6640625" style="28" customWidth="1"/>
    <col min="9" max="9" width="18.6640625" style="24" customWidth="1"/>
    <col min="10" max="10" width="14.6640625" style="24" customWidth="1"/>
    <col min="11" max="11" width="18.6640625" style="24" customWidth="1"/>
    <col min="12" max="13" width="2.6640625" style="24" customWidth="1"/>
    <col min="14" max="14" width="17.1640625" style="24" bestFit="1" customWidth="1"/>
    <col min="15" max="15" width="14" style="24" bestFit="1" customWidth="1"/>
    <col min="16" max="16" width="17.1640625" style="24" bestFit="1" customWidth="1"/>
    <col min="17" max="18" width="14" style="24" bestFit="1" customWidth="1"/>
    <col min="19" max="16384" width="11" style="24"/>
  </cols>
  <sheetData>
    <row r="1" spans="1:20" ht="8" customHeight="1" thickBot="1" x14ac:dyDescent="0.25"/>
    <row r="2" spans="1:20" ht="20" thickBot="1" x14ac:dyDescent="0.25">
      <c r="B2" s="31"/>
      <c r="C2" s="32"/>
      <c r="D2" s="32"/>
      <c r="E2" s="32"/>
      <c r="F2" s="32"/>
      <c r="G2" s="32"/>
      <c r="H2" s="32"/>
      <c r="I2" s="33"/>
      <c r="J2" s="33"/>
      <c r="K2" s="33"/>
      <c r="L2" s="34"/>
    </row>
    <row r="3" spans="1:20" ht="20" customHeight="1" x14ac:dyDescent="0.2">
      <c r="B3" s="35"/>
      <c r="C3" s="215" t="s">
        <v>104</v>
      </c>
      <c r="D3" s="201"/>
      <c r="E3" s="201"/>
      <c r="F3" s="201"/>
      <c r="G3" s="202"/>
      <c r="H3" s="202"/>
      <c r="I3" s="202"/>
      <c r="J3" s="202"/>
      <c r="K3" s="203"/>
      <c r="L3" s="36"/>
    </row>
    <row r="4" spans="1:20" ht="20" customHeight="1" thickBot="1" x14ac:dyDescent="0.25">
      <c r="B4" s="35"/>
      <c r="C4" s="204" t="s">
        <v>105</v>
      </c>
      <c r="D4" s="205"/>
      <c r="E4" s="205"/>
      <c r="F4" s="205"/>
      <c r="G4" s="206"/>
      <c r="H4" s="206"/>
      <c r="I4" s="206"/>
      <c r="J4" s="206"/>
      <c r="K4" s="207"/>
      <c r="L4" s="36"/>
    </row>
    <row r="5" spans="1:20" ht="18.75" customHeight="1" thickBot="1" x14ac:dyDescent="0.25">
      <c r="B5" s="35"/>
      <c r="C5" s="73"/>
      <c r="D5" s="74"/>
      <c r="E5" s="74"/>
      <c r="F5" s="74"/>
      <c r="G5" s="121"/>
      <c r="H5" s="75"/>
      <c r="I5" s="75"/>
      <c r="J5" s="75"/>
      <c r="K5" s="75"/>
      <c r="L5" s="36"/>
    </row>
    <row r="6" spans="1:20" s="43" customFormat="1" ht="20" customHeight="1" thickBot="1" x14ac:dyDescent="0.25">
      <c r="B6" s="44"/>
      <c r="C6" s="45" t="s">
        <v>108</v>
      </c>
      <c r="D6" s="46"/>
      <c r="E6" s="46"/>
      <c r="F6" s="46"/>
      <c r="G6" s="47"/>
      <c r="H6" s="47"/>
      <c r="I6" s="47"/>
      <c r="J6" s="47"/>
      <c r="K6" s="48"/>
      <c r="L6" s="49"/>
    </row>
    <row r="7" spans="1:20" ht="18.75" customHeight="1" thickBot="1" x14ac:dyDescent="0.25">
      <c r="B7" s="35"/>
      <c r="C7" s="230"/>
      <c r="D7" s="230"/>
      <c r="E7" s="230"/>
      <c r="F7" s="230"/>
      <c r="G7" s="230"/>
      <c r="H7" s="230"/>
      <c r="I7" s="26"/>
      <c r="J7" s="26"/>
      <c r="K7" s="26"/>
      <c r="L7" s="36"/>
      <c r="O7" s="43"/>
    </row>
    <row r="8" spans="1:20" ht="18.75" customHeight="1" thickBot="1" x14ac:dyDescent="0.25">
      <c r="B8" s="35"/>
      <c r="C8" s="216" t="s">
        <v>93</v>
      </c>
      <c r="D8" s="164"/>
      <c r="E8" s="164"/>
      <c r="F8" s="164"/>
      <c r="G8" s="164"/>
      <c r="H8" s="164"/>
      <c r="I8" s="164"/>
      <c r="J8" s="164"/>
      <c r="K8" s="165"/>
      <c r="L8" s="36"/>
    </row>
    <row r="9" spans="1:20" ht="18.75" customHeight="1" thickBot="1" x14ac:dyDescent="0.25">
      <c r="B9" s="35"/>
      <c r="C9" s="23" t="s">
        <v>91</v>
      </c>
      <c r="D9" s="52"/>
      <c r="E9" s="52"/>
      <c r="F9" s="78"/>
      <c r="G9" s="50" t="s">
        <v>2</v>
      </c>
      <c r="H9" s="50" t="s">
        <v>1</v>
      </c>
      <c r="I9" s="50" t="s">
        <v>53</v>
      </c>
      <c r="J9" s="50" t="s">
        <v>8</v>
      </c>
      <c r="K9" s="51" t="s">
        <v>0</v>
      </c>
      <c r="L9" s="36"/>
      <c r="R9" s="118"/>
    </row>
    <row r="10" spans="1:20" ht="18.75" customHeight="1" x14ac:dyDescent="0.2">
      <c r="B10" s="81">
        <v>1</v>
      </c>
      <c r="C10" s="18"/>
      <c r="D10" s="19"/>
      <c r="E10" s="19" t="s">
        <v>11</v>
      </c>
      <c r="F10" s="13"/>
      <c r="G10" s="6">
        <f>'FY 2022 Loan Fees'!G10</f>
        <v>0</v>
      </c>
      <c r="H10" s="138">
        <f>'FY 2022 Loan Fees'!H10</f>
        <v>0.75</v>
      </c>
      <c r="I10" s="7">
        <f>G10*H10</f>
        <v>0</v>
      </c>
      <c r="J10" s="15">
        <f>'FY 2022 Loan Fees'!J10</f>
        <v>0</v>
      </c>
      <c r="K10" s="8">
        <f>J10*I10</f>
        <v>0</v>
      </c>
      <c r="L10" s="36"/>
    </row>
    <row r="11" spans="1:20" ht="18.75" customHeight="1" thickBot="1" x14ac:dyDescent="0.25">
      <c r="B11" s="81">
        <v>2</v>
      </c>
      <c r="C11" s="17"/>
      <c r="D11" s="20"/>
      <c r="E11" s="20" t="s">
        <v>9</v>
      </c>
      <c r="F11" s="14"/>
      <c r="G11" s="9">
        <f>'FY 2022 Loan Fees'!G11</f>
        <v>0</v>
      </c>
      <c r="H11" s="140">
        <f>'FY 2022 Loan Fees'!H11</f>
        <v>0.75</v>
      </c>
      <c r="I11" s="10">
        <f>G11*H11</f>
        <v>0</v>
      </c>
      <c r="J11" s="16">
        <f>'FY 2022 Loan Fees'!J11</f>
        <v>2.5000000000000001E-3</v>
      </c>
      <c r="K11" s="11">
        <f>J11*I11</f>
        <v>0</v>
      </c>
      <c r="L11" s="36"/>
    </row>
    <row r="12" spans="1:20" ht="9" customHeight="1" thickBot="1" x14ac:dyDescent="0.25">
      <c r="B12" s="35"/>
      <c r="C12" s="31"/>
      <c r="D12" s="33"/>
      <c r="E12" s="33"/>
      <c r="F12" s="33"/>
      <c r="G12" s="67"/>
      <c r="H12" s="53"/>
      <c r="I12" s="67"/>
      <c r="J12" s="68"/>
      <c r="K12" s="163"/>
      <c r="L12" s="36"/>
      <c r="N12" s="119"/>
      <c r="O12" s="117"/>
      <c r="P12" s="117"/>
      <c r="Q12" s="117"/>
      <c r="R12" s="117"/>
    </row>
    <row r="13" spans="1:20" s="28" customFormat="1" ht="18.75" customHeight="1" thickBot="1" x14ac:dyDescent="0.25">
      <c r="A13" s="24"/>
      <c r="B13" s="35"/>
      <c r="C13" s="23" t="s">
        <v>7</v>
      </c>
      <c r="D13" s="52"/>
      <c r="E13" s="52"/>
      <c r="F13" s="78"/>
      <c r="G13" s="50" t="s">
        <v>2</v>
      </c>
      <c r="H13" s="50" t="s">
        <v>1</v>
      </c>
      <c r="I13" s="50" t="s">
        <v>53</v>
      </c>
      <c r="J13" s="50" t="s">
        <v>8</v>
      </c>
      <c r="K13" s="51" t="s">
        <v>0</v>
      </c>
      <c r="L13" s="37"/>
      <c r="M13" s="186"/>
      <c r="N13" s="187"/>
      <c r="O13" s="188"/>
      <c r="P13" s="188"/>
      <c r="Q13" s="189"/>
      <c r="R13" s="188"/>
      <c r="S13" s="186"/>
      <c r="T13" s="186"/>
    </row>
    <row r="14" spans="1:20" ht="18.75" customHeight="1" x14ac:dyDescent="0.2">
      <c r="B14" s="81">
        <v>3</v>
      </c>
      <c r="C14" s="160"/>
      <c r="D14" s="19"/>
      <c r="E14" s="19" t="s">
        <v>96</v>
      </c>
      <c r="F14" s="13"/>
      <c r="G14" s="6">
        <f>'FY 2022 Loan Fees'!G14</f>
        <v>0</v>
      </c>
      <c r="H14" s="138">
        <f>'FY 2022 Loan Fees'!H14</f>
        <v>0.5</v>
      </c>
      <c r="I14" s="7">
        <f>G14*H14</f>
        <v>0</v>
      </c>
      <c r="J14" s="161">
        <f>'FY 2022 Loan Fees'!J14</f>
        <v>0</v>
      </c>
      <c r="K14" s="8">
        <f>IF(G14=0,0,O$14)</f>
        <v>0</v>
      </c>
      <c r="L14" s="36"/>
      <c r="M14" s="181"/>
      <c r="N14" s="243">
        <f>G14+G15+G26</f>
        <v>0</v>
      </c>
      <c r="O14" s="231">
        <f>IF(I14+I22+I26+I30&lt;=1000000,(I14+I22)*J22,IF(I30&gt;1000000,(I14+I22)*0.0375,35000+((I14+I22+I30)-1000000)*0.0375-I30*0.035))</f>
        <v>0</v>
      </c>
      <c r="P14" s="117"/>
      <c r="Q14" s="117"/>
      <c r="R14" s="117"/>
      <c r="S14" s="181"/>
      <c r="T14" s="181"/>
    </row>
    <row r="15" spans="1:20" ht="18.75" customHeight="1" x14ac:dyDescent="0.2">
      <c r="B15" s="81">
        <v>4</v>
      </c>
      <c r="C15" s="178"/>
      <c r="D15" s="2"/>
      <c r="E15" s="2" t="s">
        <v>94</v>
      </c>
      <c r="F15" s="3"/>
      <c r="G15" s="60">
        <f>'FY 2022 Loan Fees'!G15</f>
        <v>0</v>
      </c>
      <c r="H15" s="139">
        <f>'FY 2022 Loan Fees'!H15</f>
        <v>0.5</v>
      </c>
      <c r="I15" s="5">
        <f t="shared" ref="I15:I20" si="0">G15*H15</f>
        <v>0</v>
      </c>
      <c r="J15" s="179">
        <f>IF(G15&gt;350000,0.0277,0)</f>
        <v>0</v>
      </c>
      <c r="K15" s="136">
        <f>IF(G15=0,0,O$22)</f>
        <v>0</v>
      </c>
      <c r="L15" s="36"/>
      <c r="M15" s="181"/>
      <c r="N15" s="235"/>
      <c r="O15" s="234">
        <f>N15</f>
        <v>0</v>
      </c>
      <c r="P15" s="117"/>
      <c r="Q15" s="117"/>
      <c r="R15" s="117"/>
      <c r="S15" s="181"/>
      <c r="T15" s="181"/>
    </row>
    <row r="16" spans="1:20" s="28" customFormat="1" ht="18.75" customHeight="1" x14ac:dyDescent="0.2">
      <c r="A16" s="24"/>
      <c r="B16" s="81">
        <v>5</v>
      </c>
      <c r="C16" s="162"/>
      <c r="D16" s="2"/>
      <c r="E16" s="2" t="s">
        <v>3</v>
      </c>
      <c r="F16" s="3"/>
      <c r="G16" s="1">
        <f>'FY 2022 Loan Fees'!G16</f>
        <v>0</v>
      </c>
      <c r="H16" s="139">
        <f>IF(G16=0,85%,IF(G22+G30&gt;150000,75%,85%))</f>
        <v>0.85</v>
      </c>
      <c r="I16" s="5">
        <f t="shared" si="0"/>
        <v>0</v>
      </c>
      <c r="J16" s="4">
        <f>IF(G16=0,0,J$22)</f>
        <v>0</v>
      </c>
      <c r="K16" s="136">
        <f t="shared" ref="K16:K19" si="1">IF(G16=0,0,O$22)</f>
        <v>0</v>
      </c>
      <c r="L16" s="37"/>
      <c r="M16" s="186"/>
      <c r="N16" s="236"/>
      <c r="O16" s="236"/>
      <c r="P16" s="188"/>
      <c r="Q16" s="188"/>
      <c r="R16" s="188"/>
      <c r="S16" s="186"/>
      <c r="T16" s="186"/>
    </row>
    <row r="17" spans="1:20" ht="18.75" customHeight="1" x14ac:dyDescent="0.2">
      <c r="B17" s="81">
        <v>6</v>
      </c>
      <c r="C17" s="21"/>
      <c r="D17" s="2"/>
      <c r="E17" s="2" t="s">
        <v>4</v>
      </c>
      <c r="F17" s="3"/>
      <c r="G17" s="1">
        <f>'FY 2022 Loan Fees'!G17</f>
        <v>0</v>
      </c>
      <c r="H17" s="139">
        <f>'FY 2022 Loan Fees'!H17</f>
        <v>0.75</v>
      </c>
      <c r="I17" s="5">
        <f t="shared" si="0"/>
        <v>0</v>
      </c>
      <c r="J17" s="4">
        <f>IF(OR(G17="",G17=0),0,J$22)</f>
        <v>0</v>
      </c>
      <c r="K17" s="136">
        <f>IF(G17=0,0,O$22)</f>
        <v>0</v>
      </c>
      <c r="L17" s="36"/>
      <c r="M17" s="181"/>
      <c r="N17" s="236"/>
      <c r="O17" s="235"/>
      <c r="P17" s="117"/>
      <c r="Q17" s="117"/>
      <c r="R17" s="117"/>
      <c r="S17" s="181"/>
      <c r="T17" s="181"/>
    </row>
    <row r="18" spans="1:20" ht="18.75" customHeight="1" x14ac:dyDescent="0.2">
      <c r="B18" s="81">
        <v>7</v>
      </c>
      <c r="C18" s="21"/>
      <c r="D18" s="2"/>
      <c r="E18" s="2" t="s">
        <v>5</v>
      </c>
      <c r="F18" s="3"/>
      <c r="G18" s="1">
        <f>'FY 2022 Loan Fees'!G18</f>
        <v>0</v>
      </c>
      <c r="H18" s="139">
        <f>'FY 2022 Loan Fees'!H18</f>
        <v>0.75</v>
      </c>
      <c r="I18" s="5">
        <f t="shared" si="0"/>
        <v>0</v>
      </c>
      <c r="J18" s="4">
        <f>IF(OR(G18="",G18=0),0.0277,J$22)</f>
        <v>2.7699999999999999E-2</v>
      </c>
      <c r="K18" s="136">
        <f t="shared" si="1"/>
        <v>0</v>
      </c>
      <c r="L18" s="36"/>
      <c r="M18" s="181"/>
      <c r="N18" s="236"/>
      <c r="O18" s="235"/>
      <c r="P18" s="117"/>
      <c r="Q18" s="117"/>
      <c r="R18" s="117"/>
      <c r="S18" s="181"/>
      <c r="T18" s="181"/>
    </row>
    <row r="19" spans="1:20" ht="18.75" customHeight="1" x14ac:dyDescent="0.2">
      <c r="B19" s="81">
        <v>8</v>
      </c>
      <c r="C19" s="21"/>
      <c r="D19" s="2"/>
      <c r="E19" s="2" t="s">
        <v>6</v>
      </c>
      <c r="F19" s="3"/>
      <c r="G19" s="1">
        <f>'FY 2022 Loan Fees'!G19</f>
        <v>0</v>
      </c>
      <c r="H19" s="139">
        <f>'FY 2022 Loan Fees'!H19</f>
        <v>0.75</v>
      </c>
      <c r="I19" s="5">
        <f t="shared" si="0"/>
        <v>0</v>
      </c>
      <c r="J19" s="4">
        <f>IF(OR(G19="",G19=0),0.0327,J$22)</f>
        <v>3.27E-2</v>
      </c>
      <c r="K19" s="136">
        <f t="shared" si="1"/>
        <v>0</v>
      </c>
      <c r="L19" s="36"/>
      <c r="M19" s="181"/>
      <c r="N19" s="237"/>
      <c r="O19" s="235"/>
      <c r="P19" s="117"/>
      <c r="Q19" s="117"/>
      <c r="R19" s="117"/>
      <c r="S19" s="181"/>
      <c r="T19" s="181"/>
    </row>
    <row r="20" spans="1:20" ht="18.75" customHeight="1" thickBot="1" x14ac:dyDescent="0.25">
      <c r="B20" s="81">
        <v>9</v>
      </c>
      <c r="C20" s="21"/>
      <c r="D20" s="2"/>
      <c r="E20" s="210" t="s">
        <v>109</v>
      </c>
      <c r="F20" s="3"/>
      <c r="G20" s="60">
        <f>'FY 2022 Loan Fees'!G20</f>
        <v>0</v>
      </c>
      <c r="H20" s="140">
        <f>'FY 2022 Loan Fees'!H20</f>
        <v>0.75</v>
      </c>
      <c r="I20" s="65">
        <f t="shared" si="0"/>
        <v>0</v>
      </c>
      <c r="J20" s="22" t="str">
        <f>IF(OR(G20="",G20=0),"3.5%; 3.75%",J$22)</f>
        <v>3.5%; 3.75%</v>
      </c>
      <c r="K20" s="137">
        <f>IF(G20=0,0,O$22)</f>
        <v>0</v>
      </c>
      <c r="L20" s="36"/>
      <c r="M20" s="181"/>
      <c r="N20" s="235"/>
      <c r="O20" s="235"/>
      <c r="P20" s="117"/>
      <c r="Q20" s="117"/>
      <c r="R20" s="117"/>
      <c r="S20" s="181"/>
      <c r="T20" s="181"/>
    </row>
    <row r="21" spans="1:20" ht="18.75" customHeight="1" thickBot="1" x14ac:dyDescent="0.25">
      <c r="B21" s="81"/>
      <c r="C21" s="17"/>
      <c r="D21" s="20"/>
      <c r="E21" s="209" t="s">
        <v>110</v>
      </c>
      <c r="F21" s="14"/>
      <c r="G21" s="244"/>
      <c r="H21" s="214"/>
      <c r="I21" s="211"/>
      <c r="J21" s="212"/>
      <c r="K21" s="213"/>
      <c r="L21" s="36"/>
      <c r="M21" s="181"/>
      <c r="N21" s="235"/>
      <c r="O21" s="235"/>
      <c r="P21" s="117"/>
      <c r="Q21" s="117"/>
      <c r="R21" s="117"/>
      <c r="S21" s="181"/>
      <c r="T21" s="181"/>
    </row>
    <row r="22" spans="1:20" ht="25" customHeight="1" thickBot="1" x14ac:dyDescent="0.25">
      <c r="B22" s="35"/>
      <c r="C22" s="26"/>
      <c r="D22" s="26"/>
      <c r="E22" s="26"/>
      <c r="F22" s="26"/>
      <c r="G22" s="224">
        <f>SUM(G15:G20)</f>
        <v>0</v>
      </c>
      <c r="H22" s="79"/>
      <c r="I22" s="224">
        <f>SUM(I15:I20)</f>
        <v>0</v>
      </c>
      <c r="J22" s="226" cm="1">
        <f t="array" ref="J22">_xlfn.IFS(G22+G30&lt;=350000,0,G22+G30&lt;=700000,0.0277,G22+G30&lt;=1000000,0.0327,I22+I30&lt;=1000000,0.035,I22+I30&gt;1000000,"3.50%; 3.75%")</f>
        <v>0</v>
      </c>
      <c r="K22" s="224">
        <f>SUM(K14:K20)</f>
        <v>0</v>
      </c>
      <c r="L22" s="36"/>
      <c r="M22" s="182"/>
      <c r="N22" s="238"/>
      <c r="O22" s="233">
        <f>IF(I15+I22+I30&lt;=1000000,I22*J22,IF(I30&gt;1000000,I22*0.0375,35000+((I15+I22+I30)-1000000)*0.0375-I30*0.035))</f>
        <v>0</v>
      </c>
      <c r="P22" s="119"/>
      <c r="Q22" s="79"/>
      <c r="R22" s="117"/>
      <c r="S22" s="181"/>
      <c r="T22" s="181"/>
    </row>
    <row r="23" spans="1:20" ht="18.75" customHeight="1" thickBot="1" x14ac:dyDescent="0.25">
      <c r="B23" s="35"/>
      <c r="C23" s="216" t="s">
        <v>95</v>
      </c>
      <c r="D23" s="164"/>
      <c r="E23" s="164"/>
      <c r="F23" s="164"/>
      <c r="G23" s="166"/>
      <c r="H23" s="167"/>
      <c r="I23" s="166"/>
      <c r="J23" s="167"/>
      <c r="K23" s="168"/>
      <c r="L23" s="36"/>
      <c r="M23" s="182"/>
      <c r="N23" s="238"/>
      <c r="O23" s="239"/>
      <c r="P23" s="119"/>
      <c r="Q23" s="183"/>
      <c r="R23" s="117"/>
      <c r="S23" s="181"/>
      <c r="T23" s="181"/>
    </row>
    <row r="24" spans="1:20" ht="18.75" customHeight="1" thickBot="1" x14ac:dyDescent="0.25">
      <c r="B24" s="35"/>
      <c r="C24" s="23" t="s">
        <v>80</v>
      </c>
      <c r="D24" s="52"/>
      <c r="E24" s="52"/>
      <c r="F24" s="52"/>
      <c r="G24" s="169" t="s">
        <v>92</v>
      </c>
      <c r="H24" s="170"/>
      <c r="I24" s="171"/>
      <c r="J24" s="172"/>
      <c r="K24" s="173"/>
      <c r="L24" s="36"/>
      <c r="M24" s="182"/>
      <c r="N24" s="240"/>
      <c r="O24" s="239"/>
      <c r="P24" s="119"/>
      <c r="Q24" s="79"/>
      <c r="R24" s="117"/>
      <c r="S24" s="181"/>
      <c r="T24" s="181"/>
    </row>
    <row r="25" spans="1:20" ht="18.75" customHeight="1" thickBot="1" x14ac:dyDescent="0.25">
      <c r="B25" s="35"/>
      <c r="C25" s="23"/>
      <c r="D25" s="52" t="s">
        <v>81</v>
      </c>
      <c r="E25" s="52"/>
      <c r="F25" s="78"/>
      <c r="G25" s="50" t="s">
        <v>2</v>
      </c>
      <c r="H25" s="50" t="s">
        <v>1</v>
      </c>
      <c r="I25" s="50" t="s">
        <v>53</v>
      </c>
      <c r="J25" s="50" t="s">
        <v>8</v>
      </c>
      <c r="K25" s="51" t="s">
        <v>100</v>
      </c>
      <c r="L25" s="36"/>
      <c r="M25" s="182"/>
      <c r="N25" s="240"/>
      <c r="O25" s="239"/>
      <c r="P25" s="190"/>
      <c r="Q25" s="183"/>
      <c r="R25" s="117"/>
      <c r="S25" s="181"/>
      <c r="T25" s="181"/>
    </row>
    <row r="26" spans="1:20" ht="18.75" customHeight="1" thickBot="1" x14ac:dyDescent="0.25">
      <c r="A26" s="27"/>
      <c r="B26" s="81">
        <v>10</v>
      </c>
      <c r="C26" s="54"/>
      <c r="D26" s="55"/>
      <c r="E26" s="130" t="s">
        <v>102</v>
      </c>
      <c r="F26" s="195"/>
      <c r="G26" s="196">
        <f>'FY 2022 Loan Fees'!G26</f>
        <v>0</v>
      </c>
      <c r="H26" s="197">
        <f>'FY 2022 Loan Fees'!H26</f>
        <v>0.5</v>
      </c>
      <c r="I26" s="154">
        <f>IF(G26=0,0,G26*H26)</f>
        <v>0</v>
      </c>
      <c r="J26" s="198" cm="1">
        <f t="array" ref="J26">IF(G$30=0,0,_xlfn.IFS(G$26+G$30&lt;=350000,0,G$26+G$30&lt;=700000,0.0277,G$26+G$30&lt;=1000000,0.0327,G$26+G$30&lt;=1000000,0.035,G$26+G$30&gt;1000000,"3.50%; 3.75%"))</f>
        <v>0</v>
      </c>
      <c r="K26" s="199">
        <f>IF(G$30&gt;0,I$26/(I$26+I$30)*N$30,0)</f>
        <v>0</v>
      </c>
      <c r="L26" s="36"/>
      <c r="M26" s="181"/>
      <c r="N26" s="240"/>
      <c r="O26" s="235"/>
      <c r="P26" s="119"/>
      <c r="Q26" s="117"/>
      <c r="R26" s="117"/>
      <c r="S26" s="181"/>
      <c r="T26" s="181"/>
    </row>
    <row r="27" spans="1:20" ht="18.75" customHeight="1" x14ac:dyDescent="0.2">
      <c r="A27" s="27"/>
      <c r="B27" s="81">
        <v>10</v>
      </c>
      <c r="C27" s="54"/>
      <c r="D27" s="55"/>
      <c r="E27" s="130" t="s">
        <v>58</v>
      </c>
      <c r="F27" s="131"/>
      <c r="G27" s="82">
        <f>'FY 2022 Loan Fees'!G27</f>
        <v>0</v>
      </c>
      <c r="H27" s="141" t="str">
        <f>IF(G27=0,"",IF(G$30&lt;=150000,0.85,0.75))</f>
        <v/>
      </c>
      <c r="I27" s="83">
        <f>IF(G27=0,0,G27*H27)</f>
        <v>0</v>
      </c>
      <c r="J27" s="84" cm="1">
        <f t="array" ref="J27">IF(G$26=0,_xlfn.IFS(G$30&lt;=350000,0,G$30&lt;=700000,0.0277,G$30&lt;=1000000,0.0327,G$30&lt;=1000000,0.035,G$30&gt;1000000,"3.50%; 3.75%"),_xlfn.IFS(G$26+G$30&lt;=350000,0,G$26+G$30&lt;=700000,0.0277,G$26+G$30&lt;=1000000,0.0327,G$26+G$30&lt;=1000000,0.035,G$26+G$30&gt;1000000,"3.50%; 3.75%"))</f>
        <v>0</v>
      </c>
      <c r="K27" s="85">
        <f>IF(G27=0,0,IF(G$26=0,I27/I$30*N$30,I27/(I$26+I$30)*N$30))</f>
        <v>0</v>
      </c>
      <c r="L27" s="36"/>
      <c r="M27" s="181"/>
      <c r="N27" s="240"/>
      <c r="O27" s="235"/>
      <c r="P27" s="119"/>
      <c r="Q27" s="117"/>
      <c r="R27" s="117"/>
      <c r="S27" s="181"/>
      <c r="T27" s="181"/>
    </row>
    <row r="28" spans="1:20" s="29" customFormat="1" ht="18.75" customHeight="1" x14ac:dyDescent="0.25">
      <c r="B28" s="81">
        <v>11</v>
      </c>
      <c r="C28" s="57"/>
      <c r="D28" s="58"/>
      <c r="E28" s="132" t="s">
        <v>57</v>
      </c>
      <c r="F28" s="133"/>
      <c r="G28" s="60">
        <f>'FY 2022 Loan Fees'!G28</f>
        <v>0</v>
      </c>
      <c r="H28" s="139" t="str">
        <f t="shared" ref="H28:H29" si="2">IF(G28=0,"",IF(G$30&lt;=150000,0.85,0.75))</f>
        <v/>
      </c>
      <c r="I28" s="61">
        <f>IF(G28=0,0,G28*H28)</f>
        <v>0</v>
      </c>
      <c r="J28" s="4" cm="1">
        <f t="array" ref="J28">IF(G$26=0,_xlfn.IFS(G$30&lt;=350000,0,G$30&lt;=700000,0.0277,G$30&lt;=1000000,0.0327,G$30&lt;=1000000,0.035,G$30&gt;1000000,"3.50%; 3.75%"),_xlfn.IFS(G$26+G$30&lt;=350000,0,G$26+G$30&lt;=700000,0.0277,G$26+G$30&lt;=1000000,0.0327,G$26+G$30&lt;=1000000,0.035,G$26+G$30&gt;1000000,"3.50%; 3.75%"))</f>
        <v>0</v>
      </c>
      <c r="K28" s="85">
        <f t="shared" ref="K28:K29" si="3">IF(G28=0,0,IF(G$26=0,I28/I$30*N$30,I28/(I$26+I$30)*N$30))</f>
        <v>0</v>
      </c>
      <c r="L28" s="39"/>
      <c r="M28" s="184"/>
      <c r="N28" s="241"/>
      <c r="O28" s="241"/>
      <c r="P28" s="191"/>
      <c r="Q28" s="180"/>
      <c r="R28" s="180"/>
      <c r="S28" s="184"/>
      <c r="T28" s="184"/>
    </row>
    <row r="29" spans="1:20" s="29" customFormat="1" ht="18.75" customHeight="1" thickBot="1" x14ac:dyDescent="0.3">
      <c r="B29" s="81">
        <v>12</v>
      </c>
      <c r="C29" s="62"/>
      <c r="D29" s="63"/>
      <c r="E29" s="134" t="s">
        <v>57</v>
      </c>
      <c r="F29" s="135"/>
      <c r="G29" s="66">
        <f>'FY 2022 Loan Fees'!G29</f>
        <v>0</v>
      </c>
      <c r="H29" s="140" t="str">
        <f t="shared" si="2"/>
        <v/>
      </c>
      <c r="I29" s="65">
        <f t="shared" ref="I29" si="4">IF(G29=0,0,G29*H29)</f>
        <v>0</v>
      </c>
      <c r="J29" s="16" cm="1">
        <f t="array" ref="J29">IF(G$26=0,_xlfn.IFS(G$30&lt;=350000,0,G$30&lt;=700000,0.0277,G$30&lt;=1000000,0.0327,G$30&lt;=1000000,0.035,G$30&gt;1000000,"3.50%; 3.75%"),_xlfn.IFS(G$26+G$30&lt;=350000,0,G$26+G$30&lt;=700000,0.0277,G$26+G$30&lt;=1000000,0.0327,G$26+G$30&lt;=1000000,0.035,G$26+G$30&gt;1000000,"3.50%; 3.75%"))</f>
        <v>0</v>
      </c>
      <c r="K29" s="85">
        <f t="shared" si="3"/>
        <v>0</v>
      </c>
      <c r="L29" s="39"/>
      <c r="M29" s="184"/>
      <c r="N29" s="241"/>
      <c r="O29" s="242"/>
      <c r="P29" s="191"/>
      <c r="Q29" s="180"/>
      <c r="R29" s="180"/>
      <c r="S29" s="184"/>
      <c r="T29" s="184"/>
    </row>
    <row r="30" spans="1:20" s="29" customFormat="1" ht="18.75" customHeight="1" thickBot="1" x14ac:dyDescent="0.3">
      <c r="B30" s="38"/>
      <c r="C30" s="149" t="s">
        <v>103</v>
      </c>
      <c r="D30" s="150"/>
      <c r="E30" s="151"/>
      <c r="F30" s="152"/>
      <c r="G30" s="154">
        <f>SUM(G27:G29)</f>
        <v>0</v>
      </c>
      <c r="H30" s="153"/>
      <c r="I30" s="154">
        <f>SUM(I27:I29)</f>
        <v>0</v>
      </c>
      <c r="J30" s="155"/>
      <c r="K30" s="156">
        <f>IF(AND(G26&gt;0,G30&gt;0),K26+SUM(K27:K29),SUM(K27:K29))</f>
        <v>0</v>
      </c>
      <c r="L30" s="39"/>
      <c r="M30" s="184"/>
      <c r="N30" s="232" cm="1">
        <f t="array" ref="N30">IF(G26=0,_xlfn.IFS(G30=0,0,G$30&lt;=350000,0,G$30&lt;=700000,I30*0.0277,G$30&lt;=1000000,I30*0.0327,G$30&gt;1000000,IF(I$30&lt;=1000000,I30*0.035,35000+(I30-1000000)*0.0375)),_xlfn.IFS(G26+G30=0,0,G26+G$30&lt;=350000,0,G26+G$30&lt;=700000,(I26+I30)*0.0277,G26+G$30&lt;=1000000,(I26+I30)*0.0327,G26+G$30&gt;1000000,IF(I26+I$30&lt;=1000000,(I26+I30)*0.035,35000+(I26+I30-1000000)*0.0375)))</f>
        <v>0</v>
      </c>
      <c r="O30" s="242"/>
      <c r="P30" s="180"/>
      <c r="Q30" s="180"/>
      <c r="R30" s="180"/>
      <c r="S30" s="184"/>
      <c r="T30" s="184"/>
    </row>
    <row r="31" spans="1:20" ht="9" customHeight="1" thickBot="1" x14ac:dyDescent="0.25">
      <c r="B31" s="35"/>
      <c r="C31" s="35"/>
      <c r="D31" s="86"/>
      <c r="E31" s="86"/>
      <c r="F31" s="86"/>
      <c r="G31" s="26"/>
      <c r="H31" s="26"/>
      <c r="I31" s="157"/>
      <c r="J31" s="26"/>
      <c r="K31" s="26"/>
      <c r="L31" s="36"/>
      <c r="M31" s="182"/>
      <c r="N31" s="235"/>
      <c r="O31" s="235"/>
      <c r="P31" s="117"/>
      <c r="Q31" s="79"/>
      <c r="R31" s="117"/>
      <c r="S31" s="181"/>
      <c r="T31" s="181"/>
    </row>
    <row r="32" spans="1:20" s="29" customFormat="1" ht="18.75" customHeight="1" thickBot="1" x14ac:dyDescent="0.3">
      <c r="B32" s="38"/>
      <c r="C32" s="174" t="s">
        <v>78</v>
      </c>
      <c r="D32" s="175" t="s">
        <v>79</v>
      </c>
      <c r="E32" s="175"/>
      <c r="F32" s="176"/>
      <c r="G32" s="50" t="s">
        <v>52</v>
      </c>
      <c r="H32" s="50" t="s">
        <v>1</v>
      </c>
      <c r="I32" s="51" t="s">
        <v>53</v>
      </c>
      <c r="J32" s="148"/>
      <c r="K32" s="30"/>
      <c r="L32" s="39"/>
      <c r="M32" s="184"/>
      <c r="N32" s="242"/>
      <c r="O32" s="242"/>
      <c r="P32" s="180"/>
      <c r="Q32" s="180"/>
      <c r="R32" s="180"/>
      <c r="S32" s="184"/>
      <c r="T32" s="184"/>
    </row>
    <row r="33" spans="1:20" ht="18.75" customHeight="1" x14ac:dyDescent="0.2">
      <c r="A33" s="27"/>
      <c r="B33" s="81">
        <v>13</v>
      </c>
      <c r="C33" s="54"/>
      <c r="D33" s="55"/>
      <c r="E33" s="55" t="s">
        <v>54</v>
      </c>
      <c r="F33" s="126"/>
      <c r="G33" s="82">
        <f>'FY 2022 Loan Fees'!G33</f>
        <v>0</v>
      </c>
      <c r="H33" s="141">
        <f>'FY 2022 Loan Fees'!H33</f>
        <v>0.75</v>
      </c>
      <c r="I33" s="123">
        <f t="shared" ref="I33:I34" si="5">IF(G33="",0,G33*H33)</f>
        <v>0</v>
      </c>
      <c r="J33" s="148"/>
      <c r="K33" s="30"/>
      <c r="L33" s="36"/>
      <c r="M33" s="181"/>
      <c r="N33" s="239"/>
      <c r="O33" s="235"/>
      <c r="P33" s="119"/>
      <c r="Q33" s="117"/>
      <c r="R33" s="117"/>
      <c r="S33" s="181"/>
      <c r="T33" s="181"/>
    </row>
    <row r="34" spans="1:20" s="29" customFormat="1" ht="18.75" customHeight="1" x14ac:dyDescent="0.25">
      <c r="B34" s="81">
        <v>14</v>
      </c>
      <c r="C34" s="57"/>
      <c r="D34" s="58"/>
      <c r="E34" s="58" t="s">
        <v>55</v>
      </c>
      <c r="F34" s="59"/>
      <c r="G34" s="60">
        <f>'FY 2022 Loan Fees'!G34</f>
        <v>0</v>
      </c>
      <c r="H34" s="139">
        <f>'FY 2022 Loan Fees'!H34</f>
        <v>0.75</v>
      </c>
      <c r="I34" s="124">
        <f t="shared" si="5"/>
        <v>0</v>
      </c>
      <c r="J34" s="148"/>
      <c r="K34" s="30"/>
      <c r="L34" s="39"/>
      <c r="M34" s="184"/>
      <c r="N34" s="242"/>
      <c r="O34" s="242"/>
      <c r="P34" s="191"/>
      <c r="Q34" s="180"/>
      <c r="R34" s="180"/>
      <c r="S34" s="184"/>
      <c r="T34" s="184"/>
    </row>
    <row r="35" spans="1:20" s="29" customFormat="1" ht="18.75" customHeight="1" thickBot="1" x14ac:dyDescent="0.3">
      <c r="B35" s="81">
        <v>15</v>
      </c>
      <c r="C35" s="62"/>
      <c r="D35" s="63"/>
      <c r="E35" s="63" t="s">
        <v>56</v>
      </c>
      <c r="F35" s="64"/>
      <c r="G35" s="66">
        <f>'FY 2022 Loan Fees'!G35</f>
        <v>0</v>
      </c>
      <c r="H35" s="140">
        <f>'FY 2022 Loan Fees'!H35</f>
        <v>0.5</v>
      </c>
      <c r="I35" s="125">
        <f>IF(G35="",0,G35*H35)</f>
        <v>0</v>
      </c>
      <c r="J35" s="148"/>
      <c r="K35" s="30"/>
      <c r="L35" s="39"/>
      <c r="M35" s="184"/>
      <c r="N35" s="242"/>
      <c r="O35" s="242"/>
      <c r="P35" s="191"/>
      <c r="Q35" s="180"/>
      <c r="R35" s="180"/>
      <c r="S35" s="184"/>
      <c r="T35" s="184"/>
    </row>
    <row r="36" spans="1:20" s="29" customFormat="1" ht="6" customHeight="1" x14ac:dyDescent="0.25">
      <c r="B36" s="38"/>
      <c r="C36" s="142"/>
      <c r="D36" s="143"/>
      <c r="E36" s="144"/>
      <c r="F36" s="144"/>
      <c r="G36" s="145"/>
      <c r="H36" s="146"/>
      <c r="I36" s="147"/>
      <c r="J36" s="87"/>
      <c r="K36" s="30"/>
      <c r="L36" s="39"/>
      <c r="M36" s="184"/>
      <c r="N36" s="242"/>
      <c r="O36" s="242"/>
      <c r="P36" s="180"/>
      <c r="Q36" s="180"/>
      <c r="R36" s="180"/>
      <c r="S36" s="184"/>
      <c r="T36" s="184"/>
    </row>
    <row r="37" spans="1:20" ht="24.75" customHeight="1" thickBot="1" x14ac:dyDescent="0.25">
      <c r="B37" s="35"/>
      <c r="C37" s="70" t="s">
        <v>12</v>
      </c>
      <c r="D37" s="86"/>
      <c r="E37" s="86"/>
      <c r="F37" s="86"/>
      <c r="G37" s="26"/>
      <c r="H37" s="26"/>
      <c r="I37" s="26"/>
      <c r="J37" s="26"/>
      <c r="L37" s="36"/>
      <c r="M37" s="182"/>
      <c r="N37" s="238"/>
      <c r="O37" s="235"/>
      <c r="P37" s="117"/>
      <c r="Q37" s="117"/>
      <c r="R37" s="117"/>
      <c r="S37" s="181"/>
      <c r="T37" s="181"/>
    </row>
    <row r="38" spans="1:20" ht="18.75" customHeight="1" thickBot="1" x14ac:dyDescent="0.25">
      <c r="B38" s="35"/>
      <c r="C38" s="26"/>
      <c r="D38" s="86"/>
      <c r="E38" s="86"/>
      <c r="F38" s="86"/>
      <c r="G38" s="26"/>
      <c r="H38" s="26"/>
      <c r="I38" s="26"/>
      <c r="J38" s="26"/>
      <c r="K38" s="89" t="s">
        <v>101</v>
      </c>
      <c r="L38" s="36"/>
      <c r="M38" s="182"/>
      <c r="N38" s="238"/>
      <c r="O38" s="235"/>
      <c r="P38" s="117"/>
      <c r="Q38" s="117"/>
      <c r="R38" s="117"/>
      <c r="S38" s="181"/>
      <c r="T38" s="181"/>
    </row>
    <row r="39" spans="1:20" ht="18.75" customHeight="1" thickBot="1" x14ac:dyDescent="0.25">
      <c r="B39" s="81"/>
      <c r="C39" s="217" t="s">
        <v>78</v>
      </c>
      <c r="D39" s="228" t="s">
        <v>82</v>
      </c>
      <c r="E39" s="177"/>
      <c r="F39" s="218" t="s">
        <v>53</v>
      </c>
      <c r="G39" s="26"/>
      <c r="H39" s="88"/>
      <c r="I39" s="12"/>
      <c r="J39" s="90" t="s">
        <v>97</v>
      </c>
      <c r="K39" s="158">
        <f>K22</f>
        <v>0</v>
      </c>
      <c r="L39" s="36"/>
      <c r="M39" s="183"/>
      <c r="N39" s="235"/>
      <c r="O39" s="235"/>
      <c r="P39" s="117"/>
      <c r="Q39" s="117"/>
      <c r="R39" s="117"/>
      <c r="S39" s="181"/>
      <c r="T39" s="181"/>
    </row>
    <row r="40" spans="1:20" ht="18.75" customHeight="1" thickBot="1" x14ac:dyDescent="0.25">
      <c r="B40" s="81">
        <v>16</v>
      </c>
      <c r="C40" s="54"/>
      <c r="D40" s="55"/>
      <c r="E40" s="56" t="s">
        <v>83</v>
      </c>
      <c r="F40" s="127">
        <f>'FY 2022 Loan Fees'!F40</f>
        <v>0</v>
      </c>
      <c r="G40" s="26"/>
      <c r="H40" s="88"/>
      <c r="I40" s="12"/>
      <c r="J40" s="90" t="s">
        <v>99</v>
      </c>
      <c r="K40" s="159">
        <f>IF(I26+I30&gt;0,K41-K39,0)</f>
        <v>0</v>
      </c>
      <c r="L40" s="36"/>
      <c r="M40" s="183"/>
      <c r="N40" s="235"/>
      <c r="O40" s="235"/>
      <c r="P40" s="117"/>
      <c r="Q40" s="117"/>
      <c r="R40" s="117"/>
      <c r="S40" s="181"/>
      <c r="T40" s="181"/>
    </row>
    <row r="41" spans="1:20" ht="18.75" customHeight="1" thickBot="1" x14ac:dyDescent="0.25">
      <c r="B41" s="81">
        <v>17</v>
      </c>
      <c r="C41" s="62"/>
      <c r="D41" s="63"/>
      <c r="E41" s="64" t="s">
        <v>84</v>
      </c>
      <c r="F41" s="128">
        <f>'FY 2022 Loan Fees'!F41</f>
        <v>0</v>
      </c>
      <c r="G41" s="26"/>
      <c r="H41" s="72"/>
      <c r="I41" s="80"/>
      <c r="J41" s="91" t="s">
        <v>98</v>
      </c>
      <c r="K41" s="194" cm="1">
        <f t="array" ref="K41">IF(AND(G14=0,G26=0),_xlfn.IFS(G22+G30&lt;=350000,0,G22+G30&lt;=1000000,(I22+I30)*N41,I22+I30&lt;=1000000,(I22+I30)*0.035,(I22+I30)&gt;1000000,35000+((I22+I30)-1000000)*0.0375)-K30, IF(OR(G22&gt;0,G30&gt;0),_xlfn.IFS(G14+G22+G26+G30&lt;=350000,0,G14+G22+G26+G30&lt;=1000000,(I14+I22+I26+I30)*N41,I14+I22+I26+I30&lt;=1000000,(I14+I22+I26+I30)*0.035,(I14+I22+I26+I30)&gt;1000000,35000+((I14+I22+I26+I30)-1000000)*0.0375)-K30,0))</f>
        <v>0</v>
      </c>
      <c r="L41" s="36"/>
      <c r="M41" s="183"/>
      <c r="N41" s="231" cm="1">
        <f t="array" ref="N41">IF(AND(G14=0,G26=0),_xlfn.IFS(G22+G30&lt;350000,0,G22+G30&lt;700000,0.0277,G22+G30&lt;=1000000,0.0327,I22+I30&lt;=1000000,0.035,I22+I30&gt;1000000,"3.5%; 3.75%"),IF(OR(G22&gt;0,G30&gt;0),_xlfn.IFS(G14+G22+G26+G30&lt;350000,0,G14+G22+G26+G30&lt;700000,0.0277,G14+G22+G26+G30&lt;=1000000,0.0327,I14+I22+I26+I30&lt;=1000000,0.035,I14+I22+I26+I30&gt;1000000,"3.5%; 3.75%")))</f>
        <v>0</v>
      </c>
      <c r="O41" s="231">
        <f>N41</f>
        <v>0</v>
      </c>
      <c r="P41" s="117"/>
      <c r="Q41" s="117"/>
      <c r="R41" s="117"/>
      <c r="S41" s="181"/>
      <c r="T41" s="181"/>
    </row>
    <row r="42" spans="1:20" ht="12" customHeight="1" x14ac:dyDescent="0.2">
      <c r="B42" s="35"/>
      <c r="C42" s="26"/>
      <c r="D42" s="26"/>
      <c r="E42" s="26"/>
      <c r="F42" s="26"/>
      <c r="G42" s="26"/>
      <c r="H42" s="26"/>
      <c r="I42" s="26"/>
      <c r="J42" s="26"/>
      <c r="K42" s="26"/>
      <c r="L42" s="36"/>
      <c r="M42" s="183"/>
      <c r="N42" s="117"/>
      <c r="O42" s="117"/>
      <c r="P42" s="117"/>
      <c r="Q42" s="117"/>
      <c r="R42" s="117"/>
      <c r="S42" s="181"/>
      <c r="T42" s="181"/>
    </row>
    <row r="43" spans="1:20" s="43" customFormat="1" ht="22.5" customHeight="1" x14ac:dyDescent="0.2">
      <c r="B43" s="44"/>
      <c r="C43" s="70"/>
      <c r="D43" s="225" t="str">
        <f>IF(G22+G30&gt;5000000,"The Total Amount of all Loans Made within the Last 90 Days Cannot Exceed $5MM.",IF(I22+I30+SUM(I33:I35)+F40+F41&gt;3750000,"Total Guaranty Amount of All Approved Loans (including 504) Cannot Exceed the Maximum Guaranty Amount of $3.75MM.",""))</f>
        <v/>
      </c>
      <c r="E43" s="70"/>
      <c r="F43" s="70"/>
      <c r="G43" s="70"/>
      <c r="H43" s="70"/>
      <c r="I43" s="70"/>
      <c r="J43" s="71"/>
      <c r="K43" s="71"/>
      <c r="L43" s="49"/>
      <c r="M43" s="185"/>
      <c r="N43" s="192"/>
      <c r="O43" s="192"/>
      <c r="P43" s="193"/>
      <c r="Q43" s="192"/>
      <c r="R43" s="192"/>
      <c r="S43" s="185"/>
      <c r="T43" s="185"/>
    </row>
    <row r="44" spans="1:20" ht="12" customHeight="1" x14ac:dyDescent="0.2">
      <c r="B44" s="35"/>
      <c r="C44" s="26"/>
      <c r="D44" s="26"/>
      <c r="E44" s="26"/>
      <c r="F44" s="26"/>
      <c r="G44" s="26"/>
      <c r="H44" s="26"/>
      <c r="I44" s="26"/>
      <c r="J44" s="26"/>
      <c r="K44" s="26"/>
      <c r="L44" s="36"/>
      <c r="M44" s="181"/>
      <c r="N44" s="117"/>
      <c r="O44" s="117"/>
      <c r="P44" s="117"/>
      <c r="Q44" s="117"/>
      <c r="R44" s="117"/>
      <c r="S44" s="181"/>
      <c r="T44" s="181"/>
    </row>
    <row r="45" spans="1:20" x14ac:dyDescent="0.2">
      <c r="B45" s="35"/>
      <c r="C45" s="24"/>
      <c r="D45" s="77" t="s">
        <v>10</v>
      </c>
      <c r="E45" s="26" t="s">
        <v>50</v>
      </c>
      <c r="F45" s="26"/>
      <c r="G45" s="26"/>
      <c r="H45" s="26"/>
      <c r="I45" s="26"/>
      <c r="J45" s="26"/>
      <c r="K45" s="26"/>
      <c r="L45" s="36"/>
      <c r="M45" s="181"/>
      <c r="N45" s="117"/>
      <c r="O45" s="117"/>
      <c r="P45" s="117"/>
      <c r="Q45" s="117"/>
      <c r="R45" s="117"/>
      <c r="S45" s="181"/>
      <c r="T45" s="181"/>
    </row>
    <row r="46" spans="1:20" x14ac:dyDescent="0.2">
      <c r="B46" s="35"/>
      <c r="C46" s="24"/>
      <c r="E46" s="26" t="s">
        <v>24</v>
      </c>
      <c r="F46" s="26"/>
      <c r="G46" s="26"/>
      <c r="H46" s="26"/>
      <c r="I46" s="26"/>
      <c r="J46" s="26"/>
      <c r="K46" s="26"/>
      <c r="L46" s="36"/>
      <c r="M46" s="181"/>
      <c r="N46" s="117"/>
      <c r="O46" s="117"/>
      <c r="P46" s="117"/>
      <c r="Q46" s="117"/>
      <c r="R46" s="117"/>
      <c r="S46" s="181"/>
      <c r="T46" s="181"/>
    </row>
    <row r="47" spans="1:20" x14ac:dyDescent="0.2">
      <c r="B47" s="35"/>
      <c r="E47" s="26" t="s">
        <v>51</v>
      </c>
      <c r="F47" s="26"/>
      <c r="G47" s="26"/>
      <c r="H47" s="26"/>
      <c r="I47" s="26"/>
      <c r="J47" s="26"/>
      <c r="K47" s="26"/>
      <c r="L47" s="36"/>
      <c r="M47" s="181"/>
      <c r="N47" s="117"/>
      <c r="O47" s="117"/>
      <c r="P47" s="117"/>
      <c r="Q47" s="117"/>
      <c r="R47" s="117"/>
      <c r="S47" s="181"/>
      <c r="T47" s="181"/>
    </row>
    <row r="48" spans="1:20" ht="10" customHeight="1" thickBot="1" x14ac:dyDescent="0.25">
      <c r="B48" s="40"/>
      <c r="C48" s="41"/>
      <c r="D48" s="41"/>
      <c r="E48" s="41"/>
      <c r="F48" s="41"/>
      <c r="G48" s="41"/>
      <c r="H48" s="41"/>
      <c r="I48" s="41"/>
      <c r="J48" s="41"/>
      <c r="K48" s="41"/>
      <c r="L48" s="42"/>
      <c r="M48" s="181"/>
      <c r="N48" s="117"/>
      <c r="O48" s="117"/>
      <c r="P48" s="117"/>
      <c r="Q48" s="117"/>
      <c r="R48" s="117"/>
      <c r="S48" s="181"/>
      <c r="T48" s="181"/>
    </row>
    <row r="49" spans="2:12" ht="6" customHeight="1" x14ac:dyDescent="0.2">
      <c r="B49" s="35"/>
      <c r="C49" s="26"/>
      <c r="D49" s="26"/>
      <c r="E49" s="26"/>
      <c r="F49" s="26"/>
      <c r="G49" s="26"/>
      <c r="H49" s="26"/>
      <c r="I49" s="26"/>
      <c r="J49" s="26"/>
      <c r="K49" s="26"/>
      <c r="L49" s="36"/>
    </row>
    <row r="50" spans="2:12" ht="22.5" customHeight="1" x14ac:dyDescent="0.2">
      <c r="B50" s="35"/>
      <c r="C50" s="69" t="s">
        <v>23</v>
      </c>
      <c r="D50" s="26"/>
      <c r="E50" s="26"/>
      <c r="F50" s="26"/>
      <c r="G50" s="26"/>
      <c r="H50" s="26"/>
      <c r="I50" s="26"/>
      <c r="J50" s="26"/>
      <c r="K50" s="26"/>
      <c r="L50" s="36"/>
    </row>
    <row r="51" spans="2:12" ht="22.5" customHeight="1" x14ac:dyDescent="0.2">
      <c r="B51" s="35"/>
      <c r="C51" s="26" t="s">
        <v>13</v>
      </c>
      <c r="D51" s="26"/>
      <c r="E51" s="26"/>
      <c r="F51" s="26"/>
      <c r="G51" s="26"/>
      <c r="H51" s="26"/>
      <c r="I51" s="26"/>
      <c r="J51" s="26"/>
      <c r="K51" s="26"/>
      <c r="L51" s="36"/>
    </row>
    <row r="52" spans="2:12" ht="62.25" customHeight="1" x14ac:dyDescent="0.2">
      <c r="B52" s="35"/>
      <c r="C52" s="24"/>
      <c r="D52" s="24" t="s">
        <v>14</v>
      </c>
      <c r="E52" s="245" t="s">
        <v>15</v>
      </c>
      <c r="F52" s="245"/>
      <c r="G52" s="246"/>
      <c r="H52" s="246"/>
      <c r="I52" s="246"/>
      <c r="J52" s="246"/>
      <c r="K52" s="246"/>
      <c r="L52" s="36"/>
    </row>
    <row r="53" spans="2:12" ht="83.25" customHeight="1" x14ac:dyDescent="0.2">
      <c r="B53" s="35"/>
      <c r="C53" s="26"/>
      <c r="D53" s="24" t="s">
        <v>16</v>
      </c>
      <c r="E53" s="245" t="s">
        <v>25</v>
      </c>
      <c r="F53" s="245"/>
      <c r="G53" s="246"/>
      <c r="H53" s="246"/>
      <c r="I53" s="246"/>
      <c r="J53" s="246"/>
      <c r="K53" s="246"/>
      <c r="L53" s="36"/>
    </row>
    <row r="54" spans="2:12" ht="42" customHeight="1" x14ac:dyDescent="0.2">
      <c r="B54" s="35"/>
      <c r="C54" s="26"/>
      <c r="D54" s="26" t="s">
        <v>18</v>
      </c>
      <c r="E54" s="245" t="s">
        <v>17</v>
      </c>
      <c r="F54" s="245"/>
      <c r="G54" s="246"/>
      <c r="H54" s="246"/>
      <c r="I54" s="246"/>
      <c r="J54" s="246"/>
      <c r="K54" s="246"/>
      <c r="L54" s="36"/>
    </row>
    <row r="55" spans="2:12" ht="60" customHeight="1" x14ac:dyDescent="0.2">
      <c r="B55" s="35"/>
      <c r="C55" s="26"/>
      <c r="D55" s="26" t="s">
        <v>20</v>
      </c>
      <c r="E55" s="245" t="s">
        <v>19</v>
      </c>
      <c r="F55" s="245"/>
      <c r="G55" s="246"/>
      <c r="H55" s="246"/>
      <c r="I55" s="246"/>
      <c r="J55" s="246"/>
      <c r="K55" s="246"/>
      <c r="L55" s="36"/>
    </row>
    <row r="56" spans="2:12" ht="40.5" customHeight="1" x14ac:dyDescent="0.2">
      <c r="B56" s="35"/>
      <c r="C56" s="26"/>
      <c r="D56" s="26" t="s">
        <v>22</v>
      </c>
      <c r="E56" s="245" t="s">
        <v>21</v>
      </c>
      <c r="F56" s="245"/>
      <c r="G56" s="246"/>
      <c r="H56" s="246"/>
      <c r="I56" s="246"/>
      <c r="J56" s="246"/>
      <c r="K56" s="246"/>
      <c r="L56" s="36"/>
    </row>
    <row r="57" spans="2:12" ht="12" customHeight="1" x14ac:dyDescent="0.2">
      <c r="B57" s="35"/>
      <c r="C57" s="26"/>
      <c r="D57" s="26"/>
      <c r="E57" s="230"/>
      <c r="F57" s="230"/>
      <c r="G57" s="208"/>
      <c r="H57" s="208"/>
      <c r="I57" s="208"/>
      <c r="J57" s="208"/>
      <c r="K57" s="208"/>
      <c r="L57" s="36"/>
    </row>
    <row r="58" spans="2:12" ht="18.75" customHeight="1" x14ac:dyDescent="0.2">
      <c r="B58" s="35"/>
      <c r="C58" s="86" t="s">
        <v>107</v>
      </c>
      <c r="D58" s="26"/>
      <c r="E58" s="230"/>
      <c r="F58" s="230"/>
      <c r="G58" s="208"/>
      <c r="H58" s="208"/>
      <c r="I58" s="208"/>
      <c r="J58" s="208"/>
      <c r="K58" s="208"/>
      <c r="L58" s="36"/>
    </row>
    <row r="59" spans="2:12" ht="18.75" customHeight="1" x14ac:dyDescent="0.2">
      <c r="B59" s="35"/>
      <c r="C59" s="24"/>
      <c r="D59" s="24"/>
      <c r="E59" s="227" t="s">
        <v>106</v>
      </c>
      <c r="F59" s="230"/>
      <c r="G59" s="208"/>
      <c r="H59" s="208"/>
      <c r="I59" s="208"/>
      <c r="J59" s="208"/>
      <c r="K59" s="208"/>
      <c r="L59" s="36"/>
    </row>
    <row r="60" spans="2:12" ht="12" customHeight="1" x14ac:dyDescent="0.2">
      <c r="B60" s="35"/>
      <c r="C60" s="26"/>
      <c r="D60" s="26"/>
      <c r="E60" s="230"/>
      <c r="F60" s="230"/>
      <c r="G60" s="208"/>
      <c r="H60" s="208"/>
      <c r="I60" s="208"/>
      <c r="J60" s="208"/>
      <c r="K60" s="208"/>
      <c r="L60" s="36"/>
    </row>
    <row r="61" spans="2:12" ht="18.75" customHeight="1" thickBot="1" x14ac:dyDescent="0.25">
      <c r="B61" s="222" t="s">
        <v>86</v>
      </c>
      <c r="C61" s="41"/>
      <c r="D61" s="41"/>
      <c r="E61" s="41"/>
      <c r="F61" s="229" t="s">
        <v>85</v>
      </c>
      <c r="G61" s="129"/>
      <c r="H61" s="41"/>
      <c r="I61" s="41"/>
      <c r="J61" s="41"/>
      <c r="K61" s="41"/>
      <c r="L61" s="223" t="s">
        <v>111</v>
      </c>
    </row>
  </sheetData>
  <mergeCells count="5">
    <mergeCell ref="E52:K52"/>
    <mergeCell ref="E53:K53"/>
    <mergeCell ref="E54:K54"/>
    <mergeCell ref="E55:K55"/>
    <mergeCell ref="E56:K56"/>
  </mergeCells>
  <hyperlinks>
    <hyperlink ref="E59" r:id="rId1" tooltip="SBA Information Notice 5000-818641" xr:uid="{20635B3C-A626-4272-97CB-0D55A1D11D05}"/>
  </hyperlinks>
  <printOptions horizontalCentered="1"/>
  <pageMargins left="0.5" right="0.5" top="1" bottom="1" header="0.5" footer="0.5"/>
  <pageSetup scale="51" orientation="portrait" horizontalDpi="4294967292" verticalDpi="4294967292"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290-AAEA-43C4-93F7-695366F0E2F8}">
  <sheetPr codeName="Sheet2">
    <pageSetUpPr fitToPage="1"/>
  </sheetPr>
  <dimension ref="B1:F87"/>
  <sheetViews>
    <sheetView showGridLines="0" showRowColHeaders="0" zoomScale="116" zoomScaleNormal="116" workbookViewId="0"/>
  </sheetViews>
  <sheetFormatPr baseColWidth="10" defaultColWidth="9" defaultRowHeight="16" x14ac:dyDescent="0.2"/>
  <cols>
    <col min="1" max="1" width="1.6640625" style="92" customWidth="1"/>
    <col min="2" max="2" width="2.6640625" style="92" customWidth="1"/>
    <col min="3" max="3" width="3.6640625" style="93" customWidth="1"/>
    <col min="4" max="4" width="0.83203125" style="93" customWidth="1"/>
    <col min="5" max="5" width="2.6640625" style="92" customWidth="1"/>
    <col min="6" max="6" width="105.1640625" style="94" bestFit="1" customWidth="1"/>
    <col min="7" max="7" width="1.6640625" style="92" customWidth="1"/>
    <col min="8" max="16384" width="9" style="92"/>
  </cols>
  <sheetData>
    <row r="1" spans="2:6" ht="9.75" customHeight="1" thickBot="1" x14ac:dyDescent="0.25">
      <c r="F1" s="219"/>
    </row>
    <row r="2" spans="2:6" ht="17" thickBot="1" x14ac:dyDescent="0.25">
      <c r="B2" s="115" t="s">
        <v>26</v>
      </c>
      <c r="C2" s="95"/>
      <c r="D2" s="96"/>
      <c r="E2" s="97" t="s">
        <v>27</v>
      </c>
      <c r="F2" s="220"/>
    </row>
    <row r="3" spans="2:6" ht="6" customHeight="1" x14ac:dyDescent="0.2">
      <c r="B3" s="106"/>
      <c r="C3" s="107"/>
      <c r="D3" s="107"/>
      <c r="E3" s="108"/>
      <c r="F3" s="101"/>
    </row>
    <row r="4" spans="2:6" x14ac:dyDescent="0.2">
      <c r="B4" s="98"/>
      <c r="C4" s="99" t="s">
        <v>40</v>
      </c>
      <c r="D4" s="99"/>
      <c r="E4" s="100" t="s">
        <v>30</v>
      </c>
      <c r="F4" s="101"/>
    </row>
    <row r="5" spans="2:6" x14ac:dyDescent="0.2">
      <c r="B5" s="98"/>
      <c r="C5" s="99"/>
      <c r="D5" s="99"/>
      <c r="E5" s="100"/>
      <c r="F5" s="110" t="s">
        <v>31</v>
      </c>
    </row>
    <row r="6" spans="2:6" x14ac:dyDescent="0.2">
      <c r="B6" s="98"/>
      <c r="C6" s="99"/>
      <c r="D6" s="99"/>
      <c r="E6" s="100"/>
      <c r="F6" s="110" t="s">
        <v>32</v>
      </c>
    </row>
    <row r="7" spans="2:6" ht="6" customHeight="1" x14ac:dyDescent="0.2">
      <c r="B7" s="102"/>
      <c r="C7" s="103"/>
      <c r="D7" s="103"/>
      <c r="E7" s="104"/>
      <c r="F7" s="111"/>
    </row>
    <row r="8" spans="2:6" ht="6" customHeight="1" x14ac:dyDescent="0.2">
      <c r="B8" s="98"/>
      <c r="C8" s="99"/>
      <c r="D8" s="99"/>
      <c r="E8" s="100"/>
      <c r="F8" s="101"/>
    </row>
    <row r="9" spans="2:6" x14ac:dyDescent="0.2">
      <c r="B9" s="98"/>
      <c r="C9" s="99" t="s">
        <v>41</v>
      </c>
      <c r="D9" s="99"/>
      <c r="E9" s="100" t="s">
        <v>30</v>
      </c>
      <c r="F9" s="101"/>
    </row>
    <row r="10" spans="2:6" x14ac:dyDescent="0.2">
      <c r="B10" s="98"/>
      <c r="C10" s="99"/>
      <c r="D10" s="99"/>
      <c r="E10" s="100"/>
      <c r="F10" s="110" t="s">
        <v>31</v>
      </c>
    </row>
    <row r="11" spans="2:6" x14ac:dyDescent="0.2">
      <c r="B11" s="98"/>
      <c r="C11" s="99"/>
      <c r="D11" s="99"/>
      <c r="E11" s="100"/>
      <c r="F11" s="110" t="s">
        <v>59</v>
      </c>
    </row>
    <row r="12" spans="2:6" ht="6" customHeight="1" x14ac:dyDescent="0.2">
      <c r="B12" s="102"/>
      <c r="C12" s="103"/>
      <c r="D12" s="103"/>
      <c r="E12" s="104"/>
      <c r="F12" s="105"/>
    </row>
    <row r="13" spans="2:6" x14ac:dyDescent="0.2">
      <c r="B13" s="98"/>
      <c r="C13" s="99" t="s">
        <v>42</v>
      </c>
      <c r="D13" s="99"/>
      <c r="E13" s="100" t="s">
        <v>28</v>
      </c>
      <c r="F13" s="101"/>
    </row>
    <row r="14" spans="2:6" ht="18.75" customHeight="1" x14ac:dyDescent="0.2">
      <c r="B14" s="98"/>
      <c r="C14" s="99"/>
      <c r="D14" s="99"/>
      <c r="E14" s="100"/>
      <c r="F14" s="101" t="s">
        <v>29</v>
      </c>
    </row>
    <row r="15" spans="2:6" ht="6" customHeight="1" x14ac:dyDescent="0.2">
      <c r="B15" s="102"/>
      <c r="C15" s="103"/>
      <c r="D15" s="103"/>
      <c r="E15" s="104"/>
      <c r="F15" s="105"/>
    </row>
    <row r="16" spans="2:6" ht="6" customHeight="1" x14ac:dyDescent="0.2">
      <c r="B16" s="106"/>
      <c r="C16" s="107"/>
      <c r="D16" s="107"/>
      <c r="E16" s="108"/>
      <c r="F16" s="109"/>
    </row>
    <row r="17" spans="2:6" x14ac:dyDescent="0.2">
      <c r="B17" s="98"/>
      <c r="C17" s="99" t="s">
        <v>43</v>
      </c>
      <c r="D17" s="99"/>
      <c r="E17" s="100" t="s">
        <v>76</v>
      </c>
      <c r="F17" s="101"/>
    </row>
    <row r="18" spans="2:6" x14ac:dyDescent="0.2">
      <c r="B18" s="98"/>
      <c r="C18" s="99"/>
      <c r="D18" s="99"/>
      <c r="E18" s="100"/>
      <c r="F18" s="120" t="s">
        <v>77</v>
      </c>
    </row>
    <row r="19" spans="2:6" ht="6" customHeight="1" x14ac:dyDescent="0.2">
      <c r="B19" s="102"/>
      <c r="C19" s="103"/>
      <c r="D19" s="103"/>
      <c r="E19" s="104"/>
      <c r="F19" s="105"/>
    </row>
    <row r="20" spans="2:6" ht="6" customHeight="1" x14ac:dyDescent="0.2">
      <c r="B20" s="106"/>
      <c r="C20" s="107"/>
      <c r="D20" s="107"/>
      <c r="E20" s="108"/>
      <c r="F20" s="109"/>
    </row>
    <row r="21" spans="2:6" x14ac:dyDescent="0.2">
      <c r="B21" s="98"/>
      <c r="C21" s="99" t="s">
        <v>44</v>
      </c>
      <c r="D21" s="99"/>
      <c r="E21" s="100" t="s">
        <v>30</v>
      </c>
      <c r="F21" s="101"/>
    </row>
    <row r="22" spans="2:6" x14ac:dyDescent="0.2">
      <c r="B22" s="98"/>
      <c r="C22" s="99"/>
      <c r="D22" s="99"/>
      <c r="E22" s="100"/>
      <c r="F22" s="110" t="s">
        <v>60</v>
      </c>
    </row>
    <row r="23" spans="2:6" ht="6" customHeight="1" x14ac:dyDescent="0.2">
      <c r="B23" s="102"/>
      <c r="C23" s="103"/>
      <c r="D23" s="103"/>
      <c r="E23" s="104"/>
      <c r="F23" s="105"/>
    </row>
    <row r="24" spans="2:6" ht="6" customHeight="1" x14ac:dyDescent="0.2">
      <c r="B24" s="106"/>
      <c r="C24" s="107"/>
      <c r="D24" s="107"/>
      <c r="E24" s="108"/>
      <c r="F24" s="109"/>
    </row>
    <row r="25" spans="2:6" x14ac:dyDescent="0.2">
      <c r="B25" s="98"/>
      <c r="C25" s="99" t="s">
        <v>45</v>
      </c>
      <c r="D25" s="99"/>
      <c r="E25" s="100" t="s">
        <v>30</v>
      </c>
      <c r="F25" s="101"/>
    </row>
    <row r="26" spans="2:6" x14ac:dyDescent="0.2">
      <c r="B26" s="98"/>
      <c r="C26" s="99"/>
      <c r="D26" s="99"/>
      <c r="E26" s="100"/>
      <c r="F26" s="110" t="s">
        <v>61</v>
      </c>
    </row>
    <row r="27" spans="2:6" ht="6" customHeight="1" x14ac:dyDescent="0.2">
      <c r="B27" s="102"/>
      <c r="C27" s="103"/>
      <c r="D27" s="103"/>
      <c r="E27" s="104"/>
      <c r="F27" s="105"/>
    </row>
    <row r="28" spans="2:6" ht="6" customHeight="1" x14ac:dyDescent="0.2">
      <c r="B28" s="106"/>
      <c r="C28" s="107"/>
      <c r="D28" s="107"/>
      <c r="E28" s="108"/>
      <c r="F28" s="109"/>
    </row>
    <row r="29" spans="2:6" x14ac:dyDescent="0.2">
      <c r="B29" s="98"/>
      <c r="C29" s="99" t="s">
        <v>46</v>
      </c>
      <c r="D29" s="99"/>
      <c r="E29" s="100" t="s">
        <v>30</v>
      </c>
      <c r="F29" s="101"/>
    </row>
    <row r="30" spans="2:6" x14ac:dyDescent="0.2">
      <c r="B30" s="98"/>
      <c r="C30" s="99"/>
      <c r="D30" s="99"/>
      <c r="E30" s="100"/>
      <c r="F30" s="110" t="s">
        <v>62</v>
      </c>
    </row>
    <row r="31" spans="2:6" ht="6" customHeight="1" x14ac:dyDescent="0.2">
      <c r="B31" s="102"/>
      <c r="C31" s="103"/>
      <c r="D31" s="103"/>
      <c r="E31" s="104"/>
      <c r="F31" s="105"/>
    </row>
    <row r="32" spans="2:6" ht="6" customHeight="1" x14ac:dyDescent="0.2">
      <c r="B32" s="106"/>
      <c r="C32" s="107"/>
      <c r="D32" s="107"/>
      <c r="E32" s="108"/>
      <c r="F32" s="109"/>
    </row>
    <row r="33" spans="2:6" x14ac:dyDescent="0.2">
      <c r="B33" s="98"/>
      <c r="C33" s="99" t="s">
        <v>47</v>
      </c>
      <c r="D33" s="99"/>
      <c r="E33" s="100" t="s">
        <v>30</v>
      </c>
      <c r="F33" s="101"/>
    </row>
    <row r="34" spans="2:6" x14ac:dyDescent="0.2">
      <c r="B34" s="98"/>
      <c r="C34" s="99"/>
      <c r="D34" s="99"/>
      <c r="E34" s="100"/>
      <c r="F34" s="110" t="s">
        <v>63</v>
      </c>
    </row>
    <row r="35" spans="2:6" ht="6" customHeight="1" x14ac:dyDescent="0.2">
      <c r="B35" s="102"/>
      <c r="C35" s="103"/>
      <c r="D35" s="103"/>
      <c r="E35" s="104"/>
      <c r="F35" s="105"/>
    </row>
    <row r="36" spans="2:6" ht="6" customHeight="1" x14ac:dyDescent="0.2">
      <c r="B36" s="106"/>
      <c r="C36" s="107"/>
      <c r="D36" s="107"/>
      <c r="E36" s="108"/>
      <c r="F36" s="109"/>
    </row>
    <row r="37" spans="2:6" x14ac:dyDescent="0.2">
      <c r="B37" s="98"/>
      <c r="C37" s="99" t="s">
        <v>48</v>
      </c>
      <c r="D37" s="99"/>
      <c r="E37" s="100" t="s">
        <v>30</v>
      </c>
      <c r="F37" s="101"/>
    </row>
    <row r="38" spans="2:6" x14ac:dyDescent="0.2">
      <c r="B38" s="98"/>
      <c r="C38" s="99"/>
      <c r="D38" s="99"/>
      <c r="E38" s="100"/>
      <c r="F38" s="110" t="s">
        <v>64</v>
      </c>
    </row>
    <row r="39" spans="2:6" ht="6" customHeight="1" x14ac:dyDescent="0.2">
      <c r="B39" s="102"/>
      <c r="C39" s="103"/>
      <c r="D39" s="103"/>
      <c r="E39" s="104"/>
      <c r="F39" s="105"/>
    </row>
    <row r="40" spans="2:6" ht="6" customHeight="1" x14ac:dyDescent="0.2">
      <c r="B40" s="106"/>
      <c r="C40" s="107"/>
      <c r="D40" s="107"/>
      <c r="E40" s="108"/>
      <c r="F40" s="109"/>
    </row>
    <row r="41" spans="2:6" x14ac:dyDescent="0.2">
      <c r="B41" s="98"/>
      <c r="C41" s="99" t="s">
        <v>49</v>
      </c>
      <c r="D41" s="99"/>
      <c r="E41" s="100" t="s">
        <v>33</v>
      </c>
      <c r="F41" s="101"/>
    </row>
    <row r="42" spans="2:6" x14ac:dyDescent="0.2">
      <c r="B42" s="98"/>
      <c r="C42" s="99"/>
      <c r="D42" s="99"/>
      <c r="E42" s="116" t="s">
        <v>114</v>
      </c>
      <c r="F42" s="110"/>
    </row>
    <row r="43" spans="2:6" x14ac:dyDescent="0.2">
      <c r="B43" s="98"/>
      <c r="C43" s="99"/>
      <c r="D43" s="99"/>
      <c r="E43" s="100"/>
      <c r="F43" s="110" t="s">
        <v>115</v>
      </c>
    </row>
    <row r="44" spans="2:6" ht="17" x14ac:dyDescent="0.2">
      <c r="B44" s="98"/>
      <c r="C44" s="99"/>
      <c r="D44" s="99"/>
      <c r="E44" s="100"/>
      <c r="F44" s="101" t="s">
        <v>35</v>
      </c>
    </row>
    <row r="45" spans="2:6" ht="17" x14ac:dyDescent="0.2">
      <c r="B45" s="98"/>
      <c r="C45" s="99"/>
      <c r="D45" s="99"/>
      <c r="E45" s="100"/>
      <c r="F45" s="101" t="s">
        <v>36</v>
      </c>
    </row>
    <row r="46" spans="2:6" ht="17" x14ac:dyDescent="0.2">
      <c r="B46" s="98"/>
      <c r="C46" s="99"/>
      <c r="D46" s="99"/>
      <c r="E46" s="100"/>
      <c r="F46" s="101" t="s">
        <v>37</v>
      </c>
    </row>
    <row r="47" spans="2:6" ht="17" x14ac:dyDescent="0.2">
      <c r="B47" s="98"/>
      <c r="C47" s="99"/>
      <c r="D47" s="99"/>
      <c r="E47" s="100"/>
      <c r="F47" s="101" t="s">
        <v>38</v>
      </c>
    </row>
    <row r="48" spans="2:6" ht="17" x14ac:dyDescent="0.2">
      <c r="B48" s="98"/>
      <c r="C48" s="99"/>
      <c r="D48" s="99"/>
      <c r="E48" s="100"/>
      <c r="F48" s="101" t="s">
        <v>39</v>
      </c>
    </row>
    <row r="49" spans="2:6" ht="6" customHeight="1" x14ac:dyDescent="0.2">
      <c r="B49" s="102"/>
      <c r="C49" s="103"/>
      <c r="D49" s="103"/>
      <c r="E49" s="104"/>
      <c r="F49" s="105"/>
    </row>
    <row r="50" spans="2:6" ht="6" customHeight="1" x14ac:dyDescent="0.2">
      <c r="B50" s="106"/>
      <c r="C50" s="107"/>
      <c r="D50" s="107"/>
      <c r="E50" s="108"/>
      <c r="F50" s="109"/>
    </row>
    <row r="51" spans="2:6" x14ac:dyDescent="0.2">
      <c r="B51" s="98"/>
      <c r="C51" s="99" t="s">
        <v>65</v>
      </c>
      <c r="D51" s="99"/>
      <c r="E51" s="100" t="s">
        <v>33</v>
      </c>
      <c r="F51" s="101"/>
    </row>
    <row r="52" spans="2:6" x14ac:dyDescent="0.2">
      <c r="B52" s="98"/>
      <c r="C52" s="99"/>
      <c r="D52" s="99"/>
      <c r="E52" s="116" t="s">
        <v>116</v>
      </c>
      <c r="F52" s="110"/>
    </row>
    <row r="53" spans="2:6" x14ac:dyDescent="0.2">
      <c r="B53" s="98"/>
      <c r="C53" s="99"/>
      <c r="D53" s="99"/>
      <c r="E53" s="100" t="s">
        <v>74</v>
      </c>
      <c r="F53" s="110"/>
    </row>
    <row r="54" spans="2:6" x14ac:dyDescent="0.2">
      <c r="B54" s="98"/>
      <c r="C54" s="99"/>
      <c r="D54" s="99"/>
      <c r="E54" s="100"/>
      <c r="F54" s="110" t="s">
        <v>34</v>
      </c>
    </row>
    <row r="55" spans="2:6" ht="17" x14ac:dyDescent="0.2">
      <c r="B55" s="98"/>
      <c r="C55" s="99"/>
      <c r="D55" s="99"/>
      <c r="E55" s="100"/>
      <c r="F55" s="101" t="s">
        <v>35</v>
      </c>
    </row>
    <row r="56" spans="2:6" ht="17" x14ac:dyDescent="0.2">
      <c r="B56" s="98"/>
      <c r="C56" s="99"/>
      <c r="D56" s="99"/>
      <c r="E56" s="100"/>
      <c r="F56" s="101" t="s">
        <v>36</v>
      </c>
    </row>
    <row r="57" spans="2:6" ht="17" x14ac:dyDescent="0.2">
      <c r="B57" s="98"/>
      <c r="C57" s="99"/>
      <c r="D57" s="99"/>
      <c r="E57" s="100"/>
      <c r="F57" s="101" t="s">
        <v>37</v>
      </c>
    </row>
    <row r="58" spans="2:6" ht="17" x14ac:dyDescent="0.2">
      <c r="B58" s="98"/>
      <c r="C58" s="99"/>
      <c r="D58" s="99"/>
      <c r="E58" s="100"/>
      <c r="F58" s="101" t="s">
        <v>38</v>
      </c>
    </row>
    <row r="59" spans="2:6" ht="17" x14ac:dyDescent="0.2">
      <c r="B59" s="98"/>
      <c r="C59" s="99"/>
      <c r="D59" s="99"/>
      <c r="E59" s="100"/>
      <c r="F59" s="101" t="s">
        <v>39</v>
      </c>
    </row>
    <row r="60" spans="2:6" ht="6" customHeight="1" x14ac:dyDescent="0.2">
      <c r="B60" s="102"/>
      <c r="C60" s="103"/>
      <c r="D60" s="103"/>
      <c r="E60" s="104"/>
      <c r="F60" s="105"/>
    </row>
    <row r="61" spans="2:6" ht="6" customHeight="1" x14ac:dyDescent="0.2">
      <c r="B61" s="106"/>
      <c r="C61" s="107"/>
      <c r="D61" s="107"/>
      <c r="E61" s="108"/>
      <c r="F61" s="109"/>
    </row>
    <row r="62" spans="2:6" x14ac:dyDescent="0.2">
      <c r="B62" s="98"/>
      <c r="C62" s="99" t="s">
        <v>66</v>
      </c>
      <c r="D62" s="99"/>
      <c r="E62" s="100" t="s">
        <v>117</v>
      </c>
      <c r="F62" s="101"/>
    </row>
    <row r="63" spans="2:6" ht="6" customHeight="1" x14ac:dyDescent="0.2">
      <c r="B63" s="102"/>
      <c r="C63" s="103"/>
      <c r="D63" s="103"/>
      <c r="E63" s="104"/>
      <c r="F63" s="105"/>
    </row>
    <row r="64" spans="2:6" ht="6" customHeight="1" x14ac:dyDescent="0.2">
      <c r="B64" s="106"/>
      <c r="C64" s="107"/>
      <c r="D64" s="107"/>
      <c r="E64" s="108"/>
      <c r="F64" s="109"/>
    </row>
    <row r="65" spans="2:6" x14ac:dyDescent="0.2">
      <c r="B65" s="98"/>
      <c r="C65" s="99" t="s">
        <v>69</v>
      </c>
      <c r="D65" s="99"/>
      <c r="E65" s="100" t="s">
        <v>117</v>
      </c>
      <c r="F65" s="101"/>
    </row>
    <row r="66" spans="2:6" ht="6" customHeight="1" x14ac:dyDescent="0.2">
      <c r="B66" s="102"/>
      <c r="C66" s="103"/>
      <c r="D66" s="103"/>
      <c r="E66" s="104"/>
      <c r="F66" s="105"/>
    </row>
    <row r="67" spans="2:6" ht="6" customHeight="1" x14ac:dyDescent="0.2">
      <c r="B67" s="106"/>
      <c r="C67" s="107"/>
      <c r="D67" s="107"/>
      <c r="E67" s="108"/>
      <c r="F67" s="109"/>
    </row>
    <row r="68" spans="2:6" x14ac:dyDescent="0.2">
      <c r="B68" s="98"/>
      <c r="C68" s="99" t="s">
        <v>72</v>
      </c>
      <c r="D68" s="99"/>
      <c r="E68" s="100" t="s">
        <v>30</v>
      </c>
      <c r="F68" s="101"/>
    </row>
    <row r="69" spans="2:6" x14ac:dyDescent="0.2">
      <c r="B69" s="98"/>
      <c r="C69" s="99"/>
      <c r="D69" s="99"/>
      <c r="E69" s="100"/>
      <c r="F69" s="110" t="s">
        <v>67</v>
      </c>
    </row>
    <row r="70" spans="2:6" x14ac:dyDescent="0.2">
      <c r="B70" s="98"/>
      <c r="C70" s="99"/>
      <c r="D70" s="99"/>
      <c r="E70" s="100" t="s">
        <v>68</v>
      </c>
      <c r="F70" s="110"/>
    </row>
    <row r="71" spans="2:6" ht="6" customHeight="1" x14ac:dyDescent="0.2">
      <c r="B71" s="102"/>
      <c r="C71" s="103"/>
      <c r="D71" s="103"/>
      <c r="E71" s="104"/>
      <c r="F71" s="105"/>
    </row>
    <row r="72" spans="2:6" ht="6" customHeight="1" x14ac:dyDescent="0.2">
      <c r="B72" s="106"/>
      <c r="C72" s="107"/>
      <c r="D72" s="107"/>
      <c r="E72" s="108"/>
      <c r="F72" s="109"/>
    </row>
    <row r="73" spans="2:6" x14ac:dyDescent="0.2">
      <c r="B73" s="98"/>
      <c r="C73" s="99" t="s">
        <v>75</v>
      </c>
      <c r="D73" s="99"/>
      <c r="E73" s="100" t="s">
        <v>30</v>
      </c>
      <c r="F73" s="101"/>
    </row>
    <row r="74" spans="2:6" x14ac:dyDescent="0.2">
      <c r="B74" s="98"/>
      <c r="C74" s="99"/>
      <c r="D74" s="99"/>
      <c r="E74" s="100"/>
      <c r="F74" s="110" t="s">
        <v>67</v>
      </c>
    </row>
    <row r="75" spans="2:6" x14ac:dyDescent="0.2">
      <c r="B75" s="98"/>
      <c r="C75" s="99"/>
      <c r="D75" s="99"/>
      <c r="E75" s="100" t="s">
        <v>70</v>
      </c>
      <c r="F75" s="110"/>
    </row>
    <row r="76" spans="2:6" x14ac:dyDescent="0.2">
      <c r="B76" s="98"/>
      <c r="C76" s="99"/>
      <c r="D76" s="99"/>
      <c r="E76" s="100" t="s">
        <v>71</v>
      </c>
      <c r="F76" s="110"/>
    </row>
    <row r="77" spans="2:6" ht="6" customHeight="1" x14ac:dyDescent="0.2">
      <c r="B77" s="102"/>
      <c r="C77" s="103"/>
      <c r="D77" s="103"/>
      <c r="E77" s="104"/>
      <c r="F77" s="105"/>
    </row>
    <row r="78" spans="2:6" ht="6" customHeight="1" x14ac:dyDescent="0.2">
      <c r="B78" s="106"/>
      <c r="C78" s="107"/>
      <c r="D78" s="107"/>
      <c r="E78" s="108"/>
      <c r="F78" s="109"/>
    </row>
    <row r="79" spans="2:6" x14ac:dyDescent="0.2">
      <c r="B79" s="98"/>
      <c r="C79" s="99" t="s">
        <v>87</v>
      </c>
      <c r="D79" s="99"/>
      <c r="E79" s="100" t="s">
        <v>73</v>
      </c>
      <c r="F79" s="101"/>
    </row>
    <row r="80" spans="2:6" ht="6" customHeight="1" x14ac:dyDescent="0.2">
      <c r="B80" s="102"/>
      <c r="C80" s="103"/>
      <c r="D80" s="103"/>
      <c r="E80" s="104"/>
      <c r="F80" s="105"/>
    </row>
    <row r="81" spans="2:6" ht="6" customHeight="1" x14ac:dyDescent="0.2">
      <c r="B81" s="106"/>
      <c r="C81" s="107"/>
      <c r="D81" s="107"/>
      <c r="E81" s="108"/>
      <c r="F81" s="109"/>
    </row>
    <row r="82" spans="2:6" x14ac:dyDescent="0.2">
      <c r="B82" s="98"/>
      <c r="C82" s="99" t="s">
        <v>88</v>
      </c>
      <c r="D82" s="99"/>
      <c r="E82" s="100" t="s">
        <v>89</v>
      </c>
      <c r="F82" s="101"/>
    </row>
    <row r="83" spans="2:6" ht="6" customHeight="1" x14ac:dyDescent="0.2">
      <c r="B83" s="102"/>
      <c r="C83" s="103"/>
      <c r="D83" s="103"/>
      <c r="E83" s="104"/>
      <c r="F83" s="105"/>
    </row>
    <row r="84" spans="2:6" ht="6" customHeight="1" x14ac:dyDescent="0.2">
      <c r="B84" s="106"/>
      <c r="C84" s="107"/>
      <c r="D84" s="107"/>
      <c r="E84" s="108"/>
      <c r="F84" s="109"/>
    </row>
    <row r="85" spans="2:6" x14ac:dyDescent="0.2">
      <c r="B85" s="98"/>
      <c r="C85" s="99" t="s">
        <v>113</v>
      </c>
      <c r="D85" s="99"/>
      <c r="E85" s="100" t="s">
        <v>90</v>
      </c>
      <c r="F85" s="101"/>
    </row>
    <row r="86" spans="2:6" ht="17" thickBot="1" x14ac:dyDescent="0.25">
      <c r="B86" s="112"/>
      <c r="C86" s="113"/>
      <c r="D86" s="113"/>
      <c r="E86" s="114"/>
      <c r="F86" s="221" t="str">
        <f>'FY 2022 Loan Fees'!L61</f>
        <v xml:space="preserve">Version 1.4 - Last Updated 1/20/22     </v>
      </c>
    </row>
    <row r="87" spans="2:6" ht="9.75" customHeight="1" x14ac:dyDescent="0.2"/>
  </sheetData>
  <sheetProtection sheet="1" objects="1" scenarios="1"/>
  <printOptions horizontalCentered="1"/>
  <pageMargins left="0.5" right="0.5" top="0.75" bottom="0.5" header="0.3" footer="0.3"/>
  <pageSetup scale="86"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2022 Loan Fees</vt:lpstr>
      <vt:lpstr>Instructions</vt:lpstr>
      <vt:lpstr>Formulas!Print_Area</vt:lpstr>
      <vt:lpstr>'FY 2022 Loan Fees'!Print_Area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7a Guaranty Fee Calculator</dc:title>
  <dc:subject>U.S. Small Business Administration</dc:subject>
  <dc:creator>Greg Prichard;Bill Reed</dc:creator>
  <cp:lastModifiedBy>Scott Simmons</cp:lastModifiedBy>
  <cp:lastPrinted>2022-04-28T23:03:35Z</cp:lastPrinted>
  <dcterms:created xsi:type="dcterms:W3CDTF">2014-09-10T15:51:23Z</dcterms:created>
  <dcterms:modified xsi:type="dcterms:W3CDTF">2022-04-28T23:04:00Z</dcterms:modified>
  <dc:language>English</dc:language>
</cp:coreProperties>
</file>